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codeName="ThisWorkbook" autoCompressPictures="0"/>
  <bookViews>
    <workbookView xWindow="9615" yWindow="1560" windowWidth="7785" windowHeight="6870" tabRatio="1000" activeTab="1"/>
  </bookViews>
  <sheets>
    <sheet name="Technology Matrix" sheetId="8" r:id="rId1"/>
    <sheet name="N Reduction Graph" sheetId="9" r:id="rId2"/>
  </sheets>
  <definedNames>
    <definedName name="_xlnm.Print_Area" localSheetId="1">'N Reduction Graph'!$A$1:$DD$128</definedName>
  </definedNames>
  <calcPr calcId="145621"/>
</workbook>
</file>

<file path=xl/calcChain.xml><?xml version="1.0" encoding="utf-8"?>
<calcChain xmlns="http://schemas.openxmlformats.org/spreadsheetml/2006/main">
  <c r="R10" i="8" l="1"/>
  <c r="Q9" i="8"/>
  <c r="M24" i="8"/>
  <c r="M23" i="8"/>
  <c r="M22" i="8"/>
  <c r="M21" i="8"/>
  <c r="M7" i="8"/>
  <c r="AE36" i="8" l="1"/>
  <c r="AD36" i="8"/>
  <c r="Z36" i="8"/>
  <c r="Y36" i="8"/>
  <c r="AE42" i="8"/>
  <c r="AD42" i="8"/>
  <c r="Z42" i="8"/>
  <c r="AB42" i="8" s="1"/>
  <c r="Y42" i="8"/>
  <c r="AA42" i="8" s="1"/>
  <c r="AE41" i="8"/>
  <c r="AD41" i="8"/>
  <c r="BT89" i="8"/>
  <c r="BS89" i="8"/>
  <c r="BR89" i="8"/>
  <c r="BQ89" i="8"/>
  <c r="BT88" i="8"/>
  <c r="BS88" i="8"/>
  <c r="BR88" i="8"/>
  <c r="BQ88" i="8"/>
  <c r="BT87" i="8"/>
  <c r="BS87" i="8"/>
  <c r="BR87" i="8"/>
  <c r="BQ87" i="8"/>
  <c r="BT86" i="8"/>
  <c r="BS86" i="8"/>
  <c r="BR86" i="8"/>
  <c r="BQ86" i="8"/>
  <c r="BT85" i="8"/>
  <c r="BS85" i="8"/>
  <c r="BR85" i="8"/>
  <c r="BQ85" i="8"/>
  <c r="BT84" i="8"/>
  <c r="BS84" i="8"/>
  <c r="BR84" i="8"/>
  <c r="BQ84" i="8"/>
  <c r="BT83" i="8"/>
  <c r="BS83" i="8"/>
  <c r="BR83" i="8"/>
  <c r="BQ83" i="8"/>
  <c r="BT82" i="8"/>
  <c r="BS82" i="8"/>
  <c r="BR82" i="8"/>
  <c r="BQ82" i="8"/>
  <c r="BT81" i="8"/>
  <c r="BS81" i="8"/>
  <c r="BR81" i="8"/>
  <c r="BQ81" i="8"/>
  <c r="BT80" i="8"/>
  <c r="BS80" i="8"/>
  <c r="BR80" i="8"/>
  <c r="BQ80" i="8"/>
  <c r="BT71" i="8"/>
  <c r="BS71" i="8"/>
  <c r="BR71" i="8"/>
  <c r="BQ71" i="8"/>
  <c r="BT70" i="8"/>
  <c r="BS70" i="8"/>
  <c r="BR70" i="8"/>
  <c r="BQ70" i="8"/>
  <c r="BT69" i="8"/>
  <c r="BS69" i="8"/>
  <c r="BR69" i="8"/>
  <c r="BQ69" i="8"/>
  <c r="BT68" i="8"/>
  <c r="BS68" i="8"/>
  <c r="BR68" i="8"/>
  <c r="BQ68" i="8"/>
  <c r="BT67" i="8"/>
  <c r="BS67" i="8"/>
  <c r="BR67" i="8"/>
  <c r="BQ67" i="8"/>
  <c r="BT64" i="8"/>
  <c r="BS64" i="8"/>
  <c r="BR64" i="8"/>
  <c r="BQ64" i="8"/>
  <c r="BT63" i="8"/>
  <c r="BS63" i="8"/>
  <c r="BR63" i="8"/>
  <c r="BQ63" i="8"/>
  <c r="BT62" i="8"/>
  <c r="BS62" i="8"/>
  <c r="BR62" i="8"/>
  <c r="BQ62" i="8"/>
  <c r="BT61" i="8"/>
  <c r="BS61" i="8"/>
  <c r="BR61" i="8"/>
  <c r="BQ61" i="8"/>
  <c r="BT60" i="8"/>
  <c r="BS60" i="8"/>
  <c r="BR60" i="8"/>
  <c r="BQ60" i="8"/>
  <c r="BT59" i="8"/>
  <c r="BS59" i="8"/>
  <c r="BR59" i="8"/>
  <c r="BQ59" i="8"/>
  <c r="BT58" i="8"/>
  <c r="BS58" i="8"/>
  <c r="BR58" i="8"/>
  <c r="BQ58" i="8"/>
  <c r="BT57" i="8"/>
  <c r="BS57" i="8"/>
  <c r="BR57" i="8"/>
  <c r="BQ57" i="8"/>
  <c r="BT56" i="8"/>
  <c r="BS56" i="8"/>
  <c r="BR56" i="8"/>
  <c r="BQ56" i="8"/>
  <c r="BT55" i="8"/>
  <c r="BS55" i="8"/>
  <c r="BR55" i="8"/>
  <c r="BQ55" i="8"/>
  <c r="BT54" i="8"/>
  <c r="BS54" i="8"/>
  <c r="BR54" i="8"/>
  <c r="BQ54" i="8"/>
  <c r="BT53" i="8"/>
  <c r="BS53" i="8"/>
  <c r="BR53" i="8"/>
  <c r="BQ53" i="8"/>
  <c r="BT52" i="8"/>
  <c r="BS52" i="8"/>
  <c r="BR52" i="8"/>
  <c r="BQ52" i="8"/>
  <c r="BT51" i="8"/>
  <c r="BS51" i="8"/>
  <c r="BR51" i="8"/>
  <c r="BQ51" i="8"/>
  <c r="BT50" i="8"/>
  <c r="BS50" i="8"/>
  <c r="BR50" i="8"/>
  <c r="BQ50" i="8"/>
  <c r="BT49" i="8"/>
  <c r="BS49" i="8"/>
  <c r="BR49" i="8"/>
  <c r="BQ49" i="8"/>
  <c r="BT48" i="8"/>
  <c r="BS48" i="8"/>
  <c r="BR48" i="8"/>
  <c r="BQ48" i="8"/>
  <c r="BT47" i="8"/>
  <c r="BS47" i="8"/>
  <c r="BR47" i="8"/>
  <c r="BQ47" i="8"/>
  <c r="BT46" i="8"/>
  <c r="BS46" i="8"/>
  <c r="BR46" i="8"/>
  <c r="BQ46" i="8"/>
  <c r="BT45" i="8"/>
  <c r="BS45" i="8"/>
  <c r="BR45" i="8"/>
  <c r="BQ45" i="8"/>
  <c r="BT44" i="8"/>
  <c r="BS44" i="8"/>
  <c r="BR44" i="8"/>
  <c r="BQ44" i="8"/>
  <c r="BT43" i="8"/>
  <c r="BS43" i="8"/>
  <c r="BR43" i="8"/>
  <c r="BQ43" i="8"/>
  <c r="BT40" i="8"/>
  <c r="BS40" i="8"/>
  <c r="BR40" i="8"/>
  <c r="BQ40" i="8"/>
  <c r="BT38" i="8"/>
  <c r="BS38" i="8"/>
  <c r="BR38" i="8"/>
  <c r="BQ38" i="8"/>
  <c r="BT37" i="8"/>
  <c r="BS37" i="8"/>
  <c r="CT37" i="8" s="1"/>
  <c r="BR37" i="8"/>
  <c r="BQ37" i="8"/>
  <c r="BT35" i="8"/>
  <c r="BS35" i="8"/>
  <c r="BR35" i="8"/>
  <c r="BQ35" i="8"/>
  <c r="BT34" i="8"/>
  <c r="BS34" i="8"/>
  <c r="BR34" i="8"/>
  <c r="BQ34" i="8"/>
  <c r="BT33" i="8"/>
  <c r="BS33" i="8"/>
  <c r="BR33" i="8"/>
  <c r="BQ33" i="8"/>
  <c r="BT32" i="8"/>
  <c r="BS32" i="8"/>
  <c r="BR32" i="8"/>
  <c r="BQ32" i="8"/>
  <c r="BT31" i="8"/>
  <c r="BS31" i="8"/>
  <c r="BR31" i="8"/>
  <c r="BQ31" i="8"/>
  <c r="BT30" i="8"/>
  <c r="BS30" i="8"/>
  <c r="BR30" i="8"/>
  <c r="BQ30" i="8"/>
  <c r="BT29" i="8"/>
  <c r="BS29" i="8"/>
  <c r="BR29" i="8"/>
  <c r="BQ29" i="8"/>
  <c r="BT28" i="8"/>
  <c r="BS28" i="8"/>
  <c r="BR28" i="8"/>
  <c r="BQ28" i="8"/>
  <c r="BT27" i="8"/>
  <c r="BS27" i="8"/>
  <c r="BR27" i="8"/>
  <c r="BQ27" i="8"/>
  <c r="BT26" i="8"/>
  <c r="BS26" i="8"/>
  <c r="BR26" i="8"/>
  <c r="BQ26" i="8"/>
  <c r="BT25" i="8"/>
  <c r="BS25" i="8"/>
  <c r="BR25" i="8"/>
  <c r="BQ25" i="8"/>
  <c r="BT20" i="8"/>
  <c r="BS20" i="8"/>
  <c r="BR20" i="8"/>
  <c r="BQ20" i="8"/>
  <c r="BT19" i="8"/>
  <c r="BS19" i="8"/>
  <c r="BR19" i="8"/>
  <c r="BQ19" i="8"/>
  <c r="BT18" i="8"/>
  <c r="BS18" i="8"/>
  <c r="CS18" i="8" s="1"/>
  <c r="BR18" i="8"/>
  <c r="BQ18" i="8"/>
  <c r="BT17" i="8"/>
  <c r="BS17" i="8"/>
  <c r="BR17" i="8"/>
  <c r="BQ17" i="8"/>
  <c r="BT16" i="8"/>
  <c r="BS16" i="8"/>
  <c r="BR16" i="8"/>
  <c r="BQ16" i="8"/>
  <c r="BT15" i="8"/>
  <c r="BS15" i="8"/>
  <c r="BR15" i="8"/>
  <c r="BQ15" i="8"/>
  <c r="BT14" i="8"/>
  <c r="BS14" i="8"/>
  <c r="BR14" i="8"/>
  <c r="BQ14" i="8"/>
  <c r="BT13" i="8"/>
  <c r="BS13" i="8"/>
  <c r="BR13" i="8"/>
  <c r="BQ13" i="8"/>
  <c r="BT12" i="8"/>
  <c r="BS12" i="8"/>
  <c r="BR12" i="8"/>
  <c r="BQ12" i="8"/>
  <c r="BT11" i="8"/>
  <c r="BS11" i="8"/>
  <c r="BR11" i="8"/>
  <c r="BQ11" i="8"/>
  <c r="BR10" i="8"/>
  <c r="BQ10" i="8"/>
  <c r="BT9" i="8"/>
  <c r="BS9" i="8"/>
  <c r="BT8" i="8"/>
  <c r="BS8" i="8"/>
  <c r="BR8" i="8"/>
  <c r="BQ8" i="8"/>
  <c r="R45" i="8"/>
  <c r="Q45" i="8"/>
  <c r="R44" i="8"/>
  <c r="Q44" i="8"/>
  <c r="R43" i="8"/>
  <c r="Q43" i="8"/>
  <c r="AC42" i="8" l="1"/>
  <c r="CW18" i="8"/>
  <c r="CS19" i="8"/>
  <c r="CT19" i="8"/>
  <c r="CW19" i="8"/>
  <c r="CV19" i="8"/>
  <c r="CS37" i="8"/>
  <c r="CU37" i="8" s="1"/>
  <c r="CT18" i="8"/>
  <c r="CU18" i="8" s="1"/>
  <c r="CT17" i="8"/>
  <c r="CS17" i="8"/>
  <c r="Y37" i="8"/>
  <c r="Z37" i="8"/>
  <c r="Q37" i="8"/>
  <c r="R8" i="8"/>
  <c r="R9" i="8"/>
  <c r="Y38" i="8"/>
  <c r="Y19" i="8"/>
  <c r="Z19" i="8"/>
  <c r="Y18" i="8"/>
  <c r="Z18" i="8"/>
  <c r="Y17" i="8"/>
  <c r="Z17" i="8"/>
  <c r="AG36" i="8"/>
  <c r="AF36" i="8"/>
  <c r="AA36" i="8"/>
  <c r="M40" i="8"/>
  <c r="CU17" i="8" l="1"/>
  <c r="CU19" i="8"/>
  <c r="CV18" i="8"/>
  <c r="CX18" i="8" s="1"/>
  <c r="CW17" i="8"/>
  <c r="CV17" i="8"/>
  <c r="CW37" i="8"/>
  <c r="CV37" i="8"/>
  <c r="CX19" i="8"/>
  <c r="M31" i="8"/>
  <c r="M26" i="8"/>
  <c r="M25" i="8"/>
  <c r="M20" i="8"/>
  <c r="M14" i="8"/>
  <c r="M13" i="8"/>
  <c r="M16" i="8"/>
  <c r="M15" i="8"/>
  <c r="M12" i="8"/>
  <c r="M11" i="8"/>
  <c r="M9" i="8"/>
  <c r="P9" i="8" s="1"/>
  <c r="M8" i="8"/>
  <c r="P7" i="8"/>
  <c r="Y70" i="8"/>
  <c r="Z70" i="8"/>
  <c r="CI71" i="8" s="1"/>
  <c r="AD70" i="8"/>
  <c r="AE70" i="8"/>
  <c r="CK71" i="8" s="1"/>
  <c r="AJ70" i="8"/>
  <c r="AM70" i="8" s="1"/>
  <c r="AK70" i="8"/>
  <c r="AP70" i="8" s="1"/>
  <c r="BC70" i="8" s="1"/>
  <c r="AL70" i="8"/>
  <c r="AQ70" i="8" s="1"/>
  <c r="BD70" i="8" s="1"/>
  <c r="AU70" i="8"/>
  <c r="AX70" i="8" s="1"/>
  <c r="BH70" i="8" s="1"/>
  <c r="AV70" i="8"/>
  <c r="BF70" i="8" s="1"/>
  <c r="AW70" i="8"/>
  <c r="BG70" i="8" s="1"/>
  <c r="BK70" i="8"/>
  <c r="BL70" i="8"/>
  <c r="CX37" i="8" l="1"/>
  <c r="CL71" i="8"/>
  <c r="CJ71" i="8"/>
  <c r="CX17" i="8"/>
  <c r="AG70" i="8"/>
  <c r="AA70" i="8"/>
  <c r="AB70" i="8"/>
  <c r="BM70" i="8"/>
  <c r="BN70" i="8" s="1"/>
  <c r="AR70" i="8"/>
  <c r="BE70" i="8" s="1"/>
  <c r="BU70" i="8" s="1"/>
  <c r="AF70" i="8"/>
  <c r="BO70" i="8"/>
  <c r="BP70" i="8" s="1"/>
  <c r="Q13" i="8"/>
  <c r="R13" i="8"/>
  <c r="Q14" i="8"/>
  <c r="R14" i="8"/>
  <c r="Q15" i="8"/>
  <c r="R15" i="8"/>
  <c r="Q16" i="8"/>
  <c r="R16" i="8"/>
  <c r="R12" i="8"/>
  <c r="Q12" i="8"/>
  <c r="AC71" i="8" l="1"/>
  <c r="BU19" i="8"/>
  <c r="BU18" i="8"/>
  <c r="BU17" i="8"/>
  <c r="C124" i="8" l="1"/>
  <c r="D124" i="8" s="1"/>
  <c r="R26" i="8" l="1"/>
  <c r="Q26" i="8"/>
  <c r="R25" i="8"/>
  <c r="R7" i="8"/>
  <c r="R22" i="8" l="1"/>
  <c r="AE22" i="8" s="1"/>
  <c r="Q22" i="8"/>
  <c r="Y22" i="8" s="1"/>
  <c r="R24" i="8"/>
  <c r="AE24" i="8" s="1"/>
  <c r="Q24" i="8"/>
  <c r="Y24" i="8" s="1"/>
  <c r="AD24" i="8" l="1"/>
  <c r="AD22" i="8"/>
  <c r="CJ22" i="8"/>
  <c r="AA22" i="8"/>
  <c r="AG22" i="8"/>
  <c r="CK22" i="8"/>
  <c r="Z22" i="8"/>
  <c r="BM22" i="8" s="1"/>
  <c r="BQ22" i="8" s="1"/>
  <c r="CJ24" i="8"/>
  <c r="AA24" i="8"/>
  <c r="AG24" i="8"/>
  <c r="CK24" i="8"/>
  <c r="Z24" i="8"/>
  <c r="CL22" i="8" l="1"/>
  <c r="CL24" i="8"/>
  <c r="BU24" i="8"/>
  <c r="BU22" i="8"/>
  <c r="AF22" i="8"/>
  <c r="AF24" i="8"/>
  <c r="BO24" i="8"/>
  <c r="BO22" i="8"/>
  <c r="BS22" i="8" s="1"/>
  <c r="BN22" i="8"/>
  <c r="BR22" i="8" s="1"/>
  <c r="AB22" i="8"/>
  <c r="AC22" i="8" s="1"/>
  <c r="CI22" i="8"/>
  <c r="AB24" i="8"/>
  <c r="AC24" i="8" s="1"/>
  <c r="CI24" i="8"/>
  <c r="BM24" i="8"/>
  <c r="BQ24" i="8" s="1"/>
  <c r="BP24" i="8" l="1"/>
  <c r="BT24" i="8" s="1"/>
  <c r="BS24" i="8"/>
  <c r="BP22" i="8"/>
  <c r="BT22" i="8" s="1"/>
  <c r="BN24" i="8"/>
  <c r="BR24" i="8" s="1"/>
  <c r="W22" i="8" l="1"/>
  <c r="W24" i="8"/>
  <c r="Q3" i="9"/>
  <c r="E25" i="9"/>
  <c r="H3" i="9" l="1"/>
  <c r="C73" i="9"/>
  <c r="C59" i="9"/>
  <c r="C49" i="9"/>
  <c r="C41" i="9"/>
  <c r="C25" i="9"/>
  <c r="C5" i="9"/>
  <c r="E7" i="9"/>
  <c r="F7" i="9"/>
  <c r="E9" i="9"/>
  <c r="F9" i="9"/>
  <c r="E11" i="9"/>
  <c r="F11" i="9"/>
  <c r="E13" i="9"/>
  <c r="F13" i="9"/>
  <c r="E15" i="9"/>
  <c r="F15" i="9"/>
  <c r="E17" i="9"/>
  <c r="F17" i="9"/>
  <c r="E19" i="9"/>
  <c r="F19" i="9"/>
  <c r="E21" i="9"/>
  <c r="F21" i="9"/>
  <c r="E23" i="9"/>
  <c r="F23" i="9"/>
  <c r="F25" i="9"/>
  <c r="E27" i="9"/>
  <c r="F27" i="9"/>
  <c r="E29" i="9"/>
  <c r="F29" i="9"/>
  <c r="E31" i="9"/>
  <c r="F31" i="9"/>
  <c r="E33" i="9"/>
  <c r="F33" i="9"/>
  <c r="E35" i="9"/>
  <c r="F35" i="9"/>
  <c r="E37" i="9"/>
  <c r="F37" i="9"/>
  <c r="E39" i="9"/>
  <c r="F39" i="9"/>
  <c r="E41" i="9"/>
  <c r="F41" i="9"/>
  <c r="E43" i="9"/>
  <c r="F43" i="9"/>
  <c r="E45" i="9"/>
  <c r="F45" i="9"/>
  <c r="E47" i="9"/>
  <c r="F47" i="9"/>
  <c r="E49" i="9"/>
  <c r="F49" i="9"/>
  <c r="E51" i="9"/>
  <c r="F51" i="9"/>
  <c r="E53" i="9"/>
  <c r="F53" i="9"/>
  <c r="E55" i="9"/>
  <c r="F55" i="9"/>
  <c r="E57" i="9"/>
  <c r="F57" i="9"/>
  <c r="E59" i="9"/>
  <c r="F59" i="9"/>
  <c r="E61" i="9"/>
  <c r="F61" i="9"/>
  <c r="E63" i="9"/>
  <c r="F63" i="9"/>
  <c r="E65" i="9"/>
  <c r="F65" i="9"/>
  <c r="E67" i="9"/>
  <c r="F67" i="9"/>
  <c r="E69" i="9"/>
  <c r="F69" i="9"/>
  <c r="E71" i="9"/>
  <c r="F71" i="9"/>
  <c r="E73" i="9"/>
  <c r="F73" i="9"/>
  <c r="E75" i="9"/>
  <c r="F75" i="9"/>
  <c r="E77" i="9"/>
  <c r="F77" i="9"/>
  <c r="E79" i="9"/>
  <c r="F79" i="9"/>
  <c r="E81" i="9"/>
  <c r="F81" i="9"/>
  <c r="E83" i="9"/>
  <c r="F83" i="9"/>
  <c r="E85" i="9"/>
  <c r="F85" i="9"/>
  <c r="E87" i="9"/>
  <c r="F87" i="9"/>
  <c r="E89" i="9"/>
  <c r="F89" i="9"/>
  <c r="E90" i="9"/>
  <c r="F90" i="9"/>
  <c r="E91" i="9"/>
  <c r="F91" i="9"/>
  <c r="E92" i="9"/>
  <c r="F92" i="9"/>
  <c r="E93" i="9"/>
  <c r="F93" i="9"/>
  <c r="E94" i="9"/>
  <c r="F94" i="9"/>
  <c r="E95" i="9"/>
  <c r="F95" i="9"/>
  <c r="E96" i="9"/>
  <c r="F96" i="9"/>
  <c r="E97" i="9"/>
  <c r="F97" i="9"/>
  <c r="E98" i="9"/>
  <c r="F98" i="9"/>
  <c r="E99" i="9"/>
  <c r="F99" i="9"/>
  <c r="E100" i="9"/>
  <c r="F100" i="9"/>
  <c r="E101" i="9"/>
  <c r="F101" i="9"/>
  <c r="E102" i="9"/>
  <c r="F102" i="9"/>
  <c r="E103" i="9"/>
  <c r="F103" i="9"/>
  <c r="E104" i="9"/>
  <c r="F104" i="9"/>
  <c r="E105" i="9"/>
  <c r="F105" i="9"/>
  <c r="E106" i="9"/>
  <c r="F106" i="9"/>
  <c r="E107" i="9"/>
  <c r="F107" i="9"/>
  <c r="E108" i="9"/>
  <c r="F108" i="9"/>
  <c r="E109" i="9"/>
  <c r="F109" i="9"/>
  <c r="E110" i="9"/>
  <c r="F110" i="9"/>
  <c r="E111" i="9"/>
  <c r="F111" i="9"/>
  <c r="E112" i="9"/>
  <c r="F112" i="9"/>
  <c r="E113" i="9"/>
  <c r="F113" i="9"/>
  <c r="E114" i="9"/>
  <c r="F114" i="9"/>
  <c r="E115" i="9"/>
  <c r="F115" i="9"/>
  <c r="E116" i="9"/>
  <c r="F116" i="9"/>
  <c r="E117" i="9"/>
  <c r="F117" i="9"/>
  <c r="E118" i="9"/>
  <c r="F118" i="9"/>
  <c r="E119" i="9"/>
  <c r="F119" i="9"/>
  <c r="E120" i="9"/>
  <c r="F120" i="9"/>
  <c r="E121" i="9"/>
  <c r="F121" i="9"/>
  <c r="E122" i="9"/>
  <c r="F122" i="9"/>
  <c r="E123" i="9"/>
  <c r="F123" i="9"/>
  <c r="E124" i="9"/>
  <c r="F124" i="9"/>
  <c r="E125" i="9"/>
  <c r="F125" i="9"/>
  <c r="E126" i="9"/>
  <c r="F126" i="9"/>
  <c r="F5" i="9"/>
  <c r="E5" i="9"/>
  <c r="D110" i="9"/>
  <c r="D111" i="9"/>
  <c r="D112" i="9"/>
  <c r="D113" i="9"/>
  <c r="D114" i="9"/>
  <c r="D115" i="9"/>
  <c r="D116" i="9"/>
  <c r="D117" i="9"/>
  <c r="D118" i="9"/>
  <c r="D119" i="9"/>
  <c r="D120" i="9"/>
  <c r="D121" i="9"/>
  <c r="D122" i="9"/>
  <c r="D123" i="9"/>
  <c r="D124" i="9"/>
  <c r="D125" i="9"/>
  <c r="D126" i="9"/>
  <c r="D81" i="9"/>
  <c r="D83" i="9"/>
  <c r="D85" i="9"/>
  <c r="D87" i="9"/>
  <c r="D89" i="9"/>
  <c r="D90" i="9"/>
  <c r="D91" i="9"/>
  <c r="D92" i="9"/>
  <c r="D93" i="9"/>
  <c r="D94" i="9"/>
  <c r="D95" i="9"/>
  <c r="D96" i="9"/>
  <c r="D97" i="9"/>
  <c r="D98" i="9"/>
  <c r="D99" i="9"/>
  <c r="D100" i="9"/>
  <c r="D101" i="9"/>
  <c r="D102" i="9"/>
  <c r="D103" i="9"/>
  <c r="D104" i="9"/>
  <c r="D105" i="9"/>
  <c r="D106" i="9"/>
  <c r="D107" i="9"/>
  <c r="D108" i="9"/>
  <c r="D109" i="9"/>
  <c r="D7" i="9"/>
  <c r="D9" i="9"/>
  <c r="D11" i="9"/>
  <c r="D13" i="9"/>
  <c r="D15" i="9"/>
  <c r="D17" i="9"/>
  <c r="D19" i="9"/>
  <c r="D21" i="9"/>
  <c r="D23" i="9"/>
  <c r="D25" i="9"/>
  <c r="D27" i="9"/>
  <c r="D29" i="9"/>
  <c r="D31" i="9"/>
  <c r="D33" i="9"/>
  <c r="D35" i="9"/>
  <c r="D37" i="9"/>
  <c r="D39" i="9"/>
  <c r="D41" i="9"/>
  <c r="D43" i="9"/>
  <c r="D45" i="9"/>
  <c r="D47" i="9"/>
  <c r="D49" i="9"/>
  <c r="D51" i="9"/>
  <c r="D53" i="9"/>
  <c r="D55" i="9"/>
  <c r="D57" i="9"/>
  <c r="D59" i="9"/>
  <c r="D61" i="9"/>
  <c r="D63" i="9"/>
  <c r="D65" i="9"/>
  <c r="D67" i="9"/>
  <c r="D69" i="9"/>
  <c r="D71" i="9"/>
  <c r="D75" i="9"/>
  <c r="D77" i="9"/>
  <c r="D79" i="9"/>
  <c r="D5" i="9"/>
  <c r="Q67" i="9" l="1"/>
  <c r="Q43" i="9"/>
  <c r="Q11" i="9"/>
  <c r="Q51" i="9"/>
  <c r="Q21" i="9"/>
  <c r="Q17" i="9"/>
  <c r="Q13" i="9"/>
  <c r="Q9" i="9"/>
  <c r="Q83" i="9"/>
  <c r="Q59" i="9"/>
  <c r="Q19" i="9"/>
  <c r="H25" i="9"/>
  <c r="Q25" i="9"/>
  <c r="Q89" i="9"/>
  <c r="Q85" i="9"/>
  <c r="Q81" i="9"/>
  <c r="Q73" i="9"/>
  <c r="Q69" i="9"/>
  <c r="Q65" i="9"/>
  <c r="Q61" i="9"/>
  <c r="Q57" i="9"/>
  <c r="Q53" i="9"/>
  <c r="Q49" i="9"/>
  <c r="Q41" i="9"/>
  <c r="CZ37" i="9"/>
  <c r="CV37" i="9"/>
  <c r="CR37" i="9"/>
  <c r="CN37" i="9"/>
  <c r="CJ37" i="9"/>
  <c r="CF37" i="9"/>
  <c r="CB37" i="9"/>
  <c r="BX37" i="9"/>
  <c r="BT37" i="9"/>
  <c r="BP37" i="9"/>
  <c r="BL37" i="9"/>
  <c r="BH37" i="9"/>
  <c r="BD37" i="9"/>
  <c r="AZ37" i="9"/>
  <c r="AV37" i="9"/>
  <c r="AR37" i="9"/>
  <c r="AN37" i="9"/>
  <c r="AJ37" i="9"/>
  <c r="AF37" i="9"/>
  <c r="AB37" i="9"/>
  <c r="X37" i="9"/>
  <c r="T37" i="9"/>
  <c r="P37" i="9"/>
  <c r="L37" i="9"/>
  <c r="H37" i="9"/>
  <c r="DB37" i="9"/>
  <c r="CW37" i="9"/>
  <c r="CQ37" i="9"/>
  <c r="CL37" i="9"/>
  <c r="CG37" i="9"/>
  <c r="CA37" i="9"/>
  <c r="BV37" i="9"/>
  <c r="BQ37" i="9"/>
  <c r="BK37" i="9"/>
  <c r="BF37" i="9"/>
  <c r="BA37" i="9"/>
  <c r="AU37" i="9"/>
  <c r="AP37" i="9"/>
  <c r="AK37" i="9"/>
  <c r="AE37" i="9"/>
  <c r="Z37" i="9"/>
  <c r="U37" i="9"/>
  <c r="O37" i="9"/>
  <c r="J37" i="9"/>
  <c r="DA37" i="9"/>
  <c r="CU37" i="9"/>
  <c r="CP37" i="9"/>
  <c r="CK37" i="9"/>
  <c r="CE37" i="9"/>
  <c r="BZ37" i="9"/>
  <c r="BU37" i="9"/>
  <c r="BO37" i="9"/>
  <c r="BJ37" i="9"/>
  <c r="BE37" i="9"/>
  <c r="AY37" i="9"/>
  <c r="AT37" i="9"/>
  <c r="AO37" i="9"/>
  <c r="AI37" i="9"/>
  <c r="AD37" i="9"/>
  <c r="Y37" i="9"/>
  <c r="S37" i="9"/>
  <c r="N37" i="9"/>
  <c r="I37" i="9"/>
  <c r="CT37" i="9"/>
  <c r="CI37" i="9"/>
  <c r="BY37" i="9"/>
  <c r="BN37" i="9"/>
  <c r="BC37" i="9"/>
  <c r="AS37" i="9"/>
  <c r="AH37" i="9"/>
  <c r="W37" i="9"/>
  <c r="M37" i="9"/>
  <c r="CY37" i="9"/>
  <c r="CO37" i="9"/>
  <c r="CD37" i="9"/>
  <c r="BS37" i="9"/>
  <c r="BI37" i="9"/>
  <c r="AM37" i="9"/>
  <c r="AC37" i="9"/>
  <c r="G37" i="9"/>
  <c r="DC37" i="9"/>
  <c r="CS37" i="9"/>
  <c r="CH37" i="9"/>
  <c r="BW37" i="9"/>
  <c r="BM37" i="9"/>
  <c r="BB37" i="9"/>
  <c r="AQ37" i="9"/>
  <c r="AG37" i="9"/>
  <c r="V37" i="9"/>
  <c r="K37" i="9"/>
  <c r="AX37" i="9"/>
  <c r="R37" i="9"/>
  <c r="BR37" i="9"/>
  <c r="AA37" i="9"/>
  <c r="CM37" i="9"/>
  <c r="CC37" i="9"/>
  <c r="CX37" i="9"/>
  <c r="BG37" i="9"/>
  <c r="Q37" i="9"/>
  <c r="AW37" i="9"/>
  <c r="AL37" i="9"/>
  <c r="DB33" i="9"/>
  <c r="CX33" i="9"/>
  <c r="CT33" i="9"/>
  <c r="CP33" i="9"/>
  <c r="CL33" i="9"/>
  <c r="CH33" i="9"/>
  <c r="CD33" i="9"/>
  <c r="BZ33" i="9"/>
  <c r="BV33" i="9"/>
  <c r="DA33" i="9"/>
  <c r="CV33" i="9"/>
  <c r="CQ33" i="9"/>
  <c r="CK33" i="9"/>
  <c r="CF33" i="9"/>
  <c r="CA33" i="9"/>
  <c r="BU33" i="9"/>
  <c r="BQ33" i="9"/>
  <c r="BM33" i="9"/>
  <c r="BI33" i="9"/>
  <c r="BE33" i="9"/>
  <c r="BA33" i="9"/>
  <c r="AW33" i="9"/>
  <c r="AS33" i="9"/>
  <c r="AO33" i="9"/>
  <c r="AK33" i="9"/>
  <c r="AG33" i="9"/>
  <c r="AC33" i="9"/>
  <c r="Y33" i="9"/>
  <c r="U33" i="9"/>
  <c r="Q33" i="9"/>
  <c r="M33" i="9"/>
  <c r="I33" i="9"/>
  <c r="CZ33" i="9"/>
  <c r="CU33" i="9"/>
  <c r="CO33" i="9"/>
  <c r="CJ33" i="9"/>
  <c r="CE33" i="9"/>
  <c r="BY33" i="9"/>
  <c r="BT33" i="9"/>
  <c r="BP33" i="9"/>
  <c r="BL33" i="9"/>
  <c r="BH33" i="9"/>
  <c r="BD33" i="9"/>
  <c r="AZ33" i="9"/>
  <c r="AV33" i="9"/>
  <c r="AR33" i="9"/>
  <c r="AN33" i="9"/>
  <c r="AJ33" i="9"/>
  <c r="AF33" i="9"/>
  <c r="AB33" i="9"/>
  <c r="X33" i="9"/>
  <c r="T33" i="9"/>
  <c r="P33" i="9"/>
  <c r="L33" i="9"/>
  <c r="H33" i="9"/>
  <c r="CS33" i="9"/>
  <c r="CI33" i="9"/>
  <c r="BX33" i="9"/>
  <c r="BO33" i="9"/>
  <c r="BG33" i="9"/>
  <c r="AY33" i="9"/>
  <c r="AQ33" i="9"/>
  <c r="AI33" i="9"/>
  <c r="AA33" i="9"/>
  <c r="S33" i="9"/>
  <c r="K33" i="9"/>
  <c r="CY33" i="9"/>
  <c r="CC33" i="9"/>
  <c r="BK33" i="9"/>
  <c r="AM33" i="9"/>
  <c r="W33" i="9"/>
  <c r="G33" i="9"/>
  <c r="DC33" i="9"/>
  <c r="CR33" i="9"/>
  <c r="CG33" i="9"/>
  <c r="BW33" i="9"/>
  <c r="BN33" i="9"/>
  <c r="BF33" i="9"/>
  <c r="AX33" i="9"/>
  <c r="AP33" i="9"/>
  <c r="AH33" i="9"/>
  <c r="Z33" i="9"/>
  <c r="R33" i="9"/>
  <c r="J33" i="9"/>
  <c r="CN33" i="9"/>
  <c r="BS33" i="9"/>
  <c r="BC33" i="9"/>
  <c r="AU33" i="9"/>
  <c r="AE33" i="9"/>
  <c r="O33" i="9"/>
  <c r="CW33" i="9"/>
  <c r="BJ33" i="9"/>
  <c r="AD33" i="9"/>
  <c r="CB33" i="9"/>
  <c r="N33" i="9"/>
  <c r="AL33" i="9"/>
  <c r="CM33" i="9"/>
  <c r="BB33" i="9"/>
  <c r="V33" i="9"/>
  <c r="AT33" i="9"/>
  <c r="BR33" i="9"/>
  <c r="CZ29" i="9"/>
  <c r="CV29" i="9"/>
  <c r="CR29" i="9"/>
  <c r="CN29" i="9"/>
  <c r="CJ29" i="9"/>
  <c r="CF29" i="9"/>
  <c r="CB29" i="9"/>
  <c r="BX29" i="9"/>
  <c r="BT29" i="9"/>
  <c r="BP29" i="9"/>
  <c r="BL29" i="9"/>
  <c r="BH29" i="9"/>
  <c r="BD29" i="9"/>
  <c r="AZ29" i="9"/>
  <c r="AV29" i="9"/>
  <c r="AR29" i="9"/>
  <c r="AN29" i="9"/>
  <c r="AJ29" i="9"/>
  <c r="AF29" i="9"/>
  <c r="AB29" i="9"/>
  <c r="X29" i="9"/>
  <c r="T29" i="9"/>
  <c r="P29" i="9"/>
  <c r="L29" i="9"/>
  <c r="H29" i="9"/>
  <c r="CX29" i="9"/>
  <c r="CP29" i="9"/>
  <c r="CH29" i="9"/>
  <c r="BZ29" i="9"/>
  <c r="BR29" i="9"/>
  <c r="BJ29" i="9"/>
  <c r="BB29" i="9"/>
  <c r="AT29" i="9"/>
  <c r="AL29" i="9"/>
  <c r="AD29" i="9"/>
  <c r="V29" i="9"/>
  <c r="N29" i="9"/>
  <c r="DC29" i="9"/>
  <c r="CY29" i="9"/>
  <c r="CU29" i="9"/>
  <c r="CQ29" i="9"/>
  <c r="CM29" i="9"/>
  <c r="CI29" i="9"/>
  <c r="CE29" i="9"/>
  <c r="CA29" i="9"/>
  <c r="BW29" i="9"/>
  <c r="BS29" i="9"/>
  <c r="BO29" i="9"/>
  <c r="BK29" i="9"/>
  <c r="BG29" i="9"/>
  <c r="BC29" i="9"/>
  <c r="AY29" i="9"/>
  <c r="AU29" i="9"/>
  <c r="AQ29" i="9"/>
  <c r="AM29" i="9"/>
  <c r="AI29" i="9"/>
  <c r="AE29" i="9"/>
  <c r="AA29" i="9"/>
  <c r="W29" i="9"/>
  <c r="S29" i="9"/>
  <c r="O29" i="9"/>
  <c r="K29" i="9"/>
  <c r="G29" i="9"/>
  <c r="DB29" i="9"/>
  <c r="CT29" i="9"/>
  <c r="CL29" i="9"/>
  <c r="CD29" i="9"/>
  <c r="BV29" i="9"/>
  <c r="BN29" i="9"/>
  <c r="BF29" i="9"/>
  <c r="AX29" i="9"/>
  <c r="AP29" i="9"/>
  <c r="AH29" i="9"/>
  <c r="Z29" i="9"/>
  <c r="R29" i="9"/>
  <c r="J29" i="9"/>
  <c r="CS29" i="9"/>
  <c r="CC29" i="9"/>
  <c r="BM29" i="9"/>
  <c r="AW29" i="9"/>
  <c r="AG29" i="9"/>
  <c r="Q29" i="9"/>
  <c r="DA29" i="9"/>
  <c r="BU29" i="9"/>
  <c r="AO29" i="9"/>
  <c r="I29" i="9"/>
  <c r="CG29" i="9"/>
  <c r="BA29" i="9"/>
  <c r="U29" i="9"/>
  <c r="CO29" i="9"/>
  <c r="BY29" i="9"/>
  <c r="BI29" i="9"/>
  <c r="AS29" i="9"/>
  <c r="AC29" i="9"/>
  <c r="M29" i="9"/>
  <c r="CK29" i="9"/>
  <c r="BE29" i="9"/>
  <c r="Y29" i="9"/>
  <c r="CW29" i="9"/>
  <c r="BQ29" i="9"/>
  <c r="AK29" i="9"/>
  <c r="Q23" i="9"/>
  <c r="Q15" i="9"/>
  <c r="Q7" i="9"/>
  <c r="Q87" i="9"/>
  <c r="Q79" i="9"/>
  <c r="Q71" i="9"/>
  <c r="Q63" i="9"/>
  <c r="Q55" i="9"/>
  <c r="DC39" i="9"/>
  <c r="CY39" i="9"/>
  <c r="CU39" i="9"/>
  <c r="CQ39" i="9"/>
  <c r="CM39" i="9"/>
  <c r="CI39" i="9"/>
  <c r="CE39" i="9"/>
  <c r="CA39" i="9"/>
  <c r="BW39" i="9"/>
  <c r="BS39" i="9"/>
  <c r="BO39" i="9"/>
  <c r="BK39" i="9"/>
  <c r="BG39" i="9"/>
  <c r="BC39" i="9"/>
  <c r="AY39" i="9"/>
  <c r="AU39" i="9"/>
  <c r="AQ39" i="9"/>
  <c r="AM39" i="9"/>
  <c r="AI39" i="9"/>
  <c r="AE39" i="9"/>
  <c r="AA39" i="9"/>
  <c r="W39" i="9"/>
  <c r="S39" i="9"/>
  <c r="O39" i="9"/>
  <c r="K39" i="9"/>
  <c r="G39" i="9"/>
  <c r="DB39" i="9"/>
  <c r="CW39" i="9"/>
  <c r="CR39" i="9"/>
  <c r="CL39" i="9"/>
  <c r="CG39" i="9"/>
  <c r="CB39" i="9"/>
  <c r="BV39" i="9"/>
  <c r="BQ39" i="9"/>
  <c r="BL39" i="9"/>
  <c r="BF39" i="9"/>
  <c r="BA39" i="9"/>
  <c r="AV39" i="9"/>
  <c r="AP39" i="9"/>
  <c r="AK39" i="9"/>
  <c r="AF39" i="9"/>
  <c r="Z39" i="9"/>
  <c r="U39" i="9"/>
  <c r="P39" i="9"/>
  <c r="J39" i="9"/>
  <c r="DA39" i="9"/>
  <c r="CV39" i="9"/>
  <c r="CP39" i="9"/>
  <c r="CK39" i="9"/>
  <c r="CF39" i="9"/>
  <c r="BZ39" i="9"/>
  <c r="BU39" i="9"/>
  <c r="BP39" i="9"/>
  <c r="BJ39" i="9"/>
  <c r="BE39" i="9"/>
  <c r="AZ39" i="9"/>
  <c r="AT39" i="9"/>
  <c r="AO39" i="9"/>
  <c r="AJ39" i="9"/>
  <c r="AD39" i="9"/>
  <c r="Y39" i="9"/>
  <c r="T39" i="9"/>
  <c r="N39" i="9"/>
  <c r="I39" i="9"/>
  <c r="CZ39" i="9"/>
  <c r="CO39" i="9"/>
  <c r="CD39" i="9"/>
  <c r="BT39" i="9"/>
  <c r="BI39" i="9"/>
  <c r="AX39" i="9"/>
  <c r="AN39" i="9"/>
  <c r="AC39" i="9"/>
  <c r="R39" i="9"/>
  <c r="H39" i="9"/>
  <c r="CT39" i="9"/>
  <c r="CJ39" i="9"/>
  <c r="BY39" i="9"/>
  <c r="BN39" i="9"/>
  <c r="BD39" i="9"/>
  <c r="AS39" i="9"/>
  <c r="AH39" i="9"/>
  <c r="M39" i="9"/>
  <c r="CX39" i="9"/>
  <c r="CN39" i="9"/>
  <c r="CC39" i="9"/>
  <c r="BR39" i="9"/>
  <c r="BH39" i="9"/>
  <c r="AW39" i="9"/>
  <c r="AL39" i="9"/>
  <c r="AB39" i="9"/>
  <c r="Q39" i="9"/>
  <c r="X39" i="9"/>
  <c r="CS39" i="9"/>
  <c r="BB39" i="9"/>
  <c r="L39" i="9"/>
  <c r="V39" i="9"/>
  <c r="CH39" i="9"/>
  <c r="AR39" i="9"/>
  <c r="BX39" i="9"/>
  <c r="AG39" i="9"/>
  <c r="BM39" i="9"/>
  <c r="DA35" i="9"/>
  <c r="CW35" i="9"/>
  <c r="CS35" i="9"/>
  <c r="CO35" i="9"/>
  <c r="CK35" i="9"/>
  <c r="CG35" i="9"/>
  <c r="CC35" i="9"/>
  <c r="BY35" i="9"/>
  <c r="BU35" i="9"/>
  <c r="BQ35" i="9"/>
  <c r="BM35" i="9"/>
  <c r="BI35" i="9"/>
  <c r="BE35" i="9"/>
  <c r="BA35" i="9"/>
  <c r="AW35" i="9"/>
  <c r="AS35" i="9"/>
  <c r="AO35" i="9"/>
  <c r="AK35" i="9"/>
  <c r="AG35" i="9"/>
  <c r="AC35" i="9"/>
  <c r="Y35" i="9"/>
  <c r="U35" i="9"/>
  <c r="Q35" i="9"/>
  <c r="M35" i="9"/>
  <c r="I35" i="9"/>
  <c r="DB35" i="9"/>
  <c r="CV35" i="9"/>
  <c r="CQ35" i="9"/>
  <c r="CL35" i="9"/>
  <c r="CF35" i="9"/>
  <c r="CA35" i="9"/>
  <c r="BV35" i="9"/>
  <c r="BP35" i="9"/>
  <c r="BK35" i="9"/>
  <c r="BF35" i="9"/>
  <c r="AZ35" i="9"/>
  <c r="AU35" i="9"/>
  <c r="AP35" i="9"/>
  <c r="AJ35" i="9"/>
  <c r="AE35" i="9"/>
  <c r="Z35" i="9"/>
  <c r="T35" i="9"/>
  <c r="O35" i="9"/>
  <c r="J35" i="9"/>
  <c r="CZ35" i="9"/>
  <c r="CU35" i="9"/>
  <c r="CP35" i="9"/>
  <c r="CJ35" i="9"/>
  <c r="CE35" i="9"/>
  <c r="BZ35" i="9"/>
  <c r="BT35" i="9"/>
  <c r="BO35" i="9"/>
  <c r="BJ35" i="9"/>
  <c r="BD35" i="9"/>
  <c r="AY35" i="9"/>
  <c r="AT35" i="9"/>
  <c r="AN35" i="9"/>
  <c r="AI35" i="9"/>
  <c r="AD35" i="9"/>
  <c r="X35" i="9"/>
  <c r="S35" i="9"/>
  <c r="N35" i="9"/>
  <c r="H35" i="9"/>
  <c r="CY35" i="9"/>
  <c r="CN35" i="9"/>
  <c r="CD35" i="9"/>
  <c r="BS35" i="9"/>
  <c r="BH35" i="9"/>
  <c r="AX35" i="9"/>
  <c r="AM35" i="9"/>
  <c r="AB35" i="9"/>
  <c r="R35" i="9"/>
  <c r="G35" i="9"/>
  <c r="CI35" i="9"/>
  <c r="BN35" i="9"/>
  <c r="AR35" i="9"/>
  <c r="W35" i="9"/>
  <c r="CX35" i="9"/>
  <c r="CM35" i="9"/>
  <c r="CB35" i="9"/>
  <c r="BR35" i="9"/>
  <c r="BG35" i="9"/>
  <c r="AV35" i="9"/>
  <c r="AL35" i="9"/>
  <c r="AA35" i="9"/>
  <c r="P35" i="9"/>
  <c r="CT35" i="9"/>
  <c r="BX35" i="9"/>
  <c r="BC35" i="9"/>
  <c r="AH35" i="9"/>
  <c r="L35" i="9"/>
  <c r="CH35" i="9"/>
  <c r="AQ35" i="9"/>
  <c r="BL35" i="9"/>
  <c r="CR35" i="9"/>
  <c r="K35" i="9"/>
  <c r="BW35" i="9"/>
  <c r="AF35" i="9"/>
  <c r="DC35" i="9"/>
  <c r="V35" i="9"/>
  <c r="BB35" i="9"/>
  <c r="DB31" i="9"/>
  <c r="CX31" i="9"/>
  <c r="CT31" i="9"/>
  <c r="CP31" i="9"/>
  <c r="CL31" i="9"/>
  <c r="CH31" i="9"/>
  <c r="DA31" i="9"/>
  <c r="CW31" i="9"/>
  <c r="CS31" i="9"/>
  <c r="CO31" i="9"/>
  <c r="CK31" i="9"/>
  <c r="CZ31" i="9"/>
  <c r="CR31" i="9"/>
  <c r="CJ31" i="9"/>
  <c r="CE31" i="9"/>
  <c r="CA31" i="9"/>
  <c r="BW31" i="9"/>
  <c r="BS31" i="9"/>
  <c r="BO31" i="9"/>
  <c r="BK31" i="9"/>
  <c r="BG31" i="9"/>
  <c r="BC31" i="9"/>
  <c r="AY31" i="9"/>
  <c r="AU31" i="9"/>
  <c r="AQ31" i="9"/>
  <c r="AM31" i="9"/>
  <c r="AI31" i="9"/>
  <c r="AE31" i="9"/>
  <c r="AA31" i="9"/>
  <c r="W31" i="9"/>
  <c r="S31" i="9"/>
  <c r="O31" i="9"/>
  <c r="K31" i="9"/>
  <c r="G31" i="9"/>
  <c r="CN31" i="9"/>
  <c r="CC31" i="9"/>
  <c r="BU31" i="9"/>
  <c r="BM31" i="9"/>
  <c r="BE31" i="9"/>
  <c r="AW31" i="9"/>
  <c r="AO31" i="9"/>
  <c r="AG31" i="9"/>
  <c r="Y31" i="9"/>
  <c r="Q31" i="9"/>
  <c r="I31" i="9"/>
  <c r="CY31" i="9"/>
  <c r="CQ31" i="9"/>
  <c r="CI31" i="9"/>
  <c r="CD31" i="9"/>
  <c r="BZ31" i="9"/>
  <c r="BV31" i="9"/>
  <c r="BR31" i="9"/>
  <c r="BN31" i="9"/>
  <c r="BJ31" i="9"/>
  <c r="BF31" i="9"/>
  <c r="BB31" i="9"/>
  <c r="AX31" i="9"/>
  <c r="AT31" i="9"/>
  <c r="AP31" i="9"/>
  <c r="AL31" i="9"/>
  <c r="AH31" i="9"/>
  <c r="AD31" i="9"/>
  <c r="Z31" i="9"/>
  <c r="V31" i="9"/>
  <c r="R31" i="9"/>
  <c r="N31" i="9"/>
  <c r="J31" i="9"/>
  <c r="CV31" i="9"/>
  <c r="CG31" i="9"/>
  <c r="BY31" i="9"/>
  <c r="BQ31" i="9"/>
  <c r="BI31" i="9"/>
  <c r="BA31" i="9"/>
  <c r="AS31" i="9"/>
  <c r="AK31" i="9"/>
  <c r="AC31" i="9"/>
  <c r="U31" i="9"/>
  <c r="M31" i="9"/>
  <c r="CU31" i="9"/>
  <c r="BX31" i="9"/>
  <c r="BH31" i="9"/>
  <c r="AR31" i="9"/>
  <c r="AB31" i="9"/>
  <c r="L31" i="9"/>
  <c r="BP31" i="9"/>
  <c r="AJ31" i="9"/>
  <c r="CB31" i="9"/>
  <c r="AV31" i="9"/>
  <c r="P31" i="9"/>
  <c r="CM31" i="9"/>
  <c r="BT31" i="9"/>
  <c r="BD31" i="9"/>
  <c r="AN31" i="9"/>
  <c r="X31" i="9"/>
  <c r="H31" i="9"/>
  <c r="CF31" i="9"/>
  <c r="AZ31" i="9"/>
  <c r="T31" i="9"/>
  <c r="DC31" i="9"/>
  <c r="BL31" i="9"/>
  <c r="AF31" i="9"/>
  <c r="DA27" i="9"/>
  <c r="CW27" i="9"/>
  <c r="CS27" i="9"/>
  <c r="CO27" i="9"/>
  <c r="CK27" i="9"/>
  <c r="CG27" i="9"/>
  <c r="CC27" i="9"/>
  <c r="BY27" i="9"/>
  <c r="BU27" i="9"/>
  <c r="BQ27" i="9"/>
  <c r="BM27" i="9"/>
  <c r="BI27" i="9"/>
  <c r="BE27" i="9"/>
  <c r="BA27" i="9"/>
  <c r="AW27" i="9"/>
  <c r="AS27" i="9"/>
  <c r="AO27" i="9"/>
  <c r="AK27" i="9"/>
  <c r="AG27" i="9"/>
  <c r="AC27" i="9"/>
  <c r="Y27" i="9"/>
  <c r="U27" i="9"/>
  <c r="Q27" i="9"/>
  <c r="M27" i="9"/>
  <c r="I27" i="9"/>
  <c r="DC27" i="9"/>
  <c r="CZ27" i="9"/>
  <c r="CV27" i="9"/>
  <c r="CR27" i="9"/>
  <c r="CN27" i="9"/>
  <c r="CJ27" i="9"/>
  <c r="CF27" i="9"/>
  <c r="CB27" i="9"/>
  <c r="BX27" i="9"/>
  <c r="BT27" i="9"/>
  <c r="BP27" i="9"/>
  <c r="BL27" i="9"/>
  <c r="BH27" i="9"/>
  <c r="BD27" i="9"/>
  <c r="AZ27" i="9"/>
  <c r="AV27" i="9"/>
  <c r="AR27" i="9"/>
  <c r="AN27" i="9"/>
  <c r="AJ27" i="9"/>
  <c r="AF27" i="9"/>
  <c r="AB27" i="9"/>
  <c r="X27" i="9"/>
  <c r="T27" i="9"/>
  <c r="P27" i="9"/>
  <c r="L27" i="9"/>
  <c r="H27" i="9"/>
  <c r="CY27" i="9"/>
  <c r="CX27" i="9"/>
  <c r="CP27" i="9"/>
  <c r="CH27" i="9"/>
  <c r="BZ27" i="9"/>
  <c r="BR27" i="9"/>
  <c r="BJ27" i="9"/>
  <c r="BB27" i="9"/>
  <c r="AT27" i="9"/>
  <c r="AL27" i="9"/>
  <c r="AD27" i="9"/>
  <c r="V27" i="9"/>
  <c r="N27" i="9"/>
  <c r="CL27" i="9"/>
  <c r="BV27" i="9"/>
  <c r="BF27" i="9"/>
  <c r="AP27" i="9"/>
  <c r="Z27" i="9"/>
  <c r="J27" i="9"/>
  <c r="CQ27" i="9"/>
  <c r="CA27" i="9"/>
  <c r="BK27" i="9"/>
  <c r="AU27" i="9"/>
  <c r="AE27" i="9"/>
  <c r="O27" i="9"/>
  <c r="CU27" i="9"/>
  <c r="CM27" i="9"/>
  <c r="CE27" i="9"/>
  <c r="BW27" i="9"/>
  <c r="BO27" i="9"/>
  <c r="BG27" i="9"/>
  <c r="AY27" i="9"/>
  <c r="AQ27" i="9"/>
  <c r="AI27" i="9"/>
  <c r="AA27" i="9"/>
  <c r="S27" i="9"/>
  <c r="K27" i="9"/>
  <c r="CT27" i="9"/>
  <c r="CD27" i="9"/>
  <c r="BN27" i="9"/>
  <c r="AX27" i="9"/>
  <c r="AH27" i="9"/>
  <c r="R27" i="9"/>
  <c r="DB27" i="9"/>
  <c r="CI27" i="9"/>
  <c r="BS27" i="9"/>
  <c r="BC27" i="9"/>
  <c r="AM27" i="9"/>
  <c r="W27" i="9"/>
  <c r="G27" i="9"/>
  <c r="G5" i="9"/>
  <c r="Q5" i="9"/>
  <c r="R25" i="9"/>
  <c r="Q77" i="9"/>
  <c r="Q75" i="9"/>
  <c r="Q45" i="9"/>
  <c r="Q47" i="9"/>
  <c r="G55" i="9"/>
  <c r="G51" i="9"/>
  <c r="G57" i="9"/>
  <c r="G53" i="9"/>
  <c r="H55" i="9"/>
  <c r="H53" i="9"/>
  <c r="H51" i="9"/>
  <c r="H57" i="9"/>
  <c r="G71" i="9"/>
  <c r="G67" i="9"/>
  <c r="G65" i="9"/>
  <c r="G69" i="9"/>
  <c r="G63" i="9"/>
  <c r="H87" i="9"/>
  <c r="G87" i="9"/>
  <c r="G83" i="9"/>
  <c r="H83" i="9"/>
  <c r="H79" i="9"/>
  <c r="G79" i="9"/>
  <c r="H75" i="9"/>
  <c r="G75" i="9"/>
  <c r="H89" i="9"/>
  <c r="I89" i="9"/>
  <c r="G89" i="9"/>
  <c r="H85" i="9"/>
  <c r="G85" i="9"/>
  <c r="G81" i="9"/>
  <c r="H81" i="9"/>
  <c r="H77" i="9"/>
  <c r="G77" i="9"/>
  <c r="H69" i="9"/>
  <c r="H61" i="9"/>
  <c r="H71" i="9"/>
  <c r="H65" i="9"/>
  <c r="H67" i="9"/>
  <c r="H63" i="9"/>
  <c r="G23" i="9"/>
  <c r="G21" i="9"/>
  <c r="G19" i="9"/>
  <c r="G17" i="9"/>
  <c r="G15" i="9"/>
  <c r="G13" i="9"/>
  <c r="G11" i="9"/>
  <c r="G9" i="9"/>
  <c r="G7" i="9"/>
  <c r="G61" i="9"/>
  <c r="H59" i="9"/>
  <c r="G59" i="9"/>
  <c r="H49" i="9"/>
  <c r="G49" i="9"/>
  <c r="H45" i="9"/>
  <c r="G45" i="9"/>
  <c r="G73" i="9"/>
  <c r="H73" i="9"/>
  <c r="G47" i="9"/>
  <c r="H47" i="9"/>
  <c r="H43" i="9"/>
  <c r="G43" i="9"/>
  <c r="G41" i="9"/>
  <c r="H41" i="9"/>
  <c r="G25" i="9"/>
  <c r="I3" i="9"/>
  <c r="H23" i="9"/>
  <c r="H17" i="9"/>
  <c r="H19" i="9"/>
  <c r="H21" i="9"/>
  <c r="H15" i="9"/>
  <c r="H13" i="9"/>
  <c r="H5" i="9"/>
  <c r="H11" i="9"/>
  <c r="H7" i="9"/>
  <c r="H9" i="9"/>
  <c r="I41" i="9" l="1"/>
  <c r="I53" i="9"/>
  <c r="I57" i="9"/>
  <c r="I51" i="9"/>
  <c r="I55" i="9"/>
  <c r="I83" i="9"/>
  <c r="I87" i="9"/>
  <c r="I73" i="9"/>
  <c r="I77" i="9"/>
  <c r="I85" i="9"/>
  <c r="I81" i="9"/>
  <c r="I75" i="9"/>
  <c r="I79" i="9"/>
  <c r="I43" i="9"/>
  <c r="I67" i="9"/>
  <c r="I69" i="9"/>
  <c r="I63" i="9"/>
  <c r="I71" i="9"/>
  <c r="I65" i="9"/>
  <c r="I61" i="9"/>
  <c r="I49" i="9"/>
  <c r="I59" i="9"/>
  <c r="I45" i="9"/>
  <c r="I25" i="9"/>
  <c r="I47" i="9"/>
  <c r="J3" i="9"/>
  <c r="I21" i="9"/>
  <c r="I19" i="9"/>
  <c r="I23" i="9"/>
  <c r="I15" i="9"/>
  <c r="I17" i="9"/>
  <c r="I11" i="9"/>
  <c r="I9" i="9"/>
  <c r="I5" i="9"/>
  <c r="I7" i="9"/>
  <c r="I13" i="9"/>
  <c r="BL31" i="8"/>
  <c r="BL33" i="8"/>
  <c r="BL34" i="8"/>
  <c r="BL35" i="8"/>
  <c r="BL39" i="8"/>
  <c r="BL41" i="8"/>
  <c r="BL44" i="8"/>
  <c r="BL45" i="8"/>
  <c r="BL46" i="8"/>
  <c r="BL47" i="8"/>
  <c r="BL48" i="8"/>
  <c r="BL49" i="8"/>
  <c r="BL50" i="8"/>
  <c r="BL51" i="8"/>
  <c r="BL52" i="8"/>
  <c r="BL53" i="8"/>
  <c r="BL54" i="8"/>
  <c r="BL55" i="8"/>
  <c r="BL56" i="8"/>
  <c r="BL57" i="8"/>
  <c r="BL58" i="8"/>
  <c r="BL59" i="8"/>
  <c r="BL60" i="8"/>
  <c r="BL61" i="8"/>
  <c r="BL62" i="8"/>
  <c r="BL65" i="8"/>
  <c r="BL66" i="8"/>
  <c r="BL67" i="8"/>
  <c r="BL68" i="8"/>
  <c r="BL69" i="8"/>
  <c r="BL72" i="8"/>
  <c r="BL73" i="8"/>
  <c r="BL74" i="8"/>
  <c r="BL75" i="8"/>
  <c r="BL76" i="8"/>
  <c r="BL77" i="8"/>
  <c r="BL78" i="8"/>
  <c r="BL79" i="8"/>
  <c r="BL80" i="8"/>
  <c r="BL81" i="8"/>
  <c r="BL82" i="8"/>
  <c r="BL83" i="8"/>
  <c r="BL84" i="8"/>
  <c r="BL85" i="8"/>
  <c r="BL86" i="8"/>
  <c r="BL87" i="8"/>
  <c r="BL88" i="8"/>
  <c r="BL89" i="8"/>
  <c r="J57" i="9" l="1"/>
  <c r="J55" i="9"/>
  <c r="J53" i="9"/>
  <c r="J51" i="9"/>
  <c r="J83" i="9"/>
  <c r="J75" i="9"/>
  <c r="J79" i="9"/>
  <c r="J89" i="9"/>
  <c r="J85" i="9"/>
  <c r="J87" i="9"/>
  <c r="J77" i="9"/>
  <c r="J81" i="9"/>
  <c r="J65" i="9"/>
  <c r="J63" i="9"/>
  <c r="J61" i="9"/>
  <c r="J71" i="9"/>
  <c r="J67" i="9"/>
  <c r="J69" i="9"/>
  <c r="J25" i="9"/>
  <c r="J59" i="9"/>
  <c r="J49" i="9"/>
  <c r="J45" i="9"/>
  <c r="J47" i="9"/>
  <c r="J43" i="9"/>
  <c r="J73" i="9"/>
  <c r="J41" i="9"/>
  <c r="K3" i="9"/>
  <c r="J19" i="9"/>
  <c r="J23" i="9"/>
  <c r="J21" i="9"/>
  <c r="J15" i="9"/>
  <c r="J17" i="9"/>
  <c r="J13" i="9"/>
  <c r="J9" i="9"/>
  <c r="J7" i="9"/>
  <c r="J11" i="9"/>
  <c r="J5" i="9"/>
  <c r="Q30" i="8"/>
  <c r="K57" i="9" l="1"/>
  <c r="K55" i="9"/>
  <c r="K53" i="9"/>
  <c r="K51" i="9"/>
  <c r="K79" i="9"/>
  <c r="K85" i="9"/>
  <c r="K87" i="9"/>
  <c r="K83" i="9"/>
  <c r="K81" i="9"/>
  <c r="K75" i="9"/>
  <c r="K89" i="9"/>
  <c r="K77" i="9"/>
  <c r="K71" i="9"/>
  <c r="K63" i="9"/>
  <c r="K61" i="9"/>
  <c r="K69" i="9"/>
  <c r="K67" i="9"/>
  <c r="K65" i="9"/>
  <c r="K25" i="9"/>
  <c r="K45" i="9"/>
  <c r="K73" i="9"/>
  <c r="K43" i="9"/>
  <c r="K49" i="9"/>
  <c r="K47" i="9"/>
  <c r="K59" i="9"/>
  <c r="K41" i="9"/>
  <c r="L3" i="9"/>
  <c r="K23" i="9"/>
  <c r="K21" i="9"/>
  <c r="K19" i="9"/>
  <c r="K17" i="9"/>
  <c r="K7" i="9"/>
  <c r="K5" i="9"/>
  <c r="K15" i="9"/>
  <c r="K9" i="9"/>
  <c r="K13" i="9"/>
  <c r="K11" i="9"/>
  <c r="AU61" i="8"/>
  <c r="AF41" i="8" l="1"/>
  <c r="AG41" i="8"/>
  <c r="L55" i="9"/>
  <c r="L53" i="9"/>
  <c r="L51" i="9"/>
  <c r="L57" i="9"/>
  <c r="L75" i="9"/>
  <c r="L87" i="9"/>
  <c r="L85" i="9"/>
  <c r="L83" i="9"/>
  <c r="L79" i="9"/>
  <c r="L89" i="9"/>
  <c r="L81" i="9"/>
  <c r="L77" i="9"/>
  <c r="L69" i="9"/>
  <c r="L61" i="9"/>
  <c r="L67" i="9"/>
  <c r="L65" i="9"/>
  <c r="L63" i="9"/>
  <c r="L71" i="9"/>
  <c r="L25" i="9"/>
  <c r="L59" i="9"/>
  <c r="L47" i="9"/>
  <c r="L49" i="9"/>
  <c r="L73" i="9"/>
  <c r="L43" i="9"/>
  <c r="L45" i="9"/>
  <c r="L41" i="9"/>
  <c r="M3" i="9"/>
  <c r="L23" i="9"/>
  <c r="L17" i="9"/>
  <c r="L21" i="9"/>
  <c r="L5" i="9"/>
  <c r="L13" i="9"/>
  <c r="L11" i="9"/>
  <c r="L7" i="9"/>
  <c r="L9" i="9"/>
  <c r="L19" i="9"/>
  <c r="L15" i="9"/>
  <c r="M53" i="9" l="1"/>
  <c r="M51" i="9"/>
  <c r="M55" i="9"/>
  <c r="M57" i="9"/>
  <c r="M87" i="9"/>
  <c r="M89" i="9"/>
  <c r="M85" i="9"/>
  <c r="M81" i="9"/>
  <c r="M75" i="9"/>
  <c r="M79" i="9"/>
  <c r="M77" i="9"/>
  <c r="M83" i="9"/>
  <c r="M67" i="9"/>
  <c r="M71" i="9"/>
  <c r="M69" i="9"/>
  <c r="M63" i="9"/>
  <c r="M65" i="9"/>
  <c r="M61" i="9"/>
  <c r="M25" i="9"/>
  <c r="M59" i="9"/>
  <c r="M47" i="9"/>
  <c r="M49" i="9"/>
  <c r="M43" i="9"/>
  <c r="M73" i="9"/>
  <c r="M45" i="9"/>
  <c r="M41" i="9"/>
  <c r="N3" i="9"/>
  <c r="M21" i="9"/>
  <c r="M15" i="9"/>
  <c r="M13" i="9"/>
  <c r="M11" i="9"/>
  <c r="M23" i="9"/>
  <c r="M9" i="9"/>
  <c r="M19" i="9"/>
  <c r="M17" i="9"/>
  <c r="M7" i="9"/>
  <c r="M5" i="9"/>
  <c r="Q32" i="8"/>
  <c r="N57" i="9" l="1"/>
  <c r="N55" i="9"/>
  <c r="N53" i="9"/>
  <c r="N51" i="9"/>
  <c r="N79" i="9"/>
  <c r="N89" i="9"/>
  <c r="N85" i="9"/>
  <c r="N75" i="9"/>
  <c r="N77" i="9"/>
  <c r="N87" i="9"/>
  <c r="N81" i="9"/>
  <c r="N83" i="9"/>
  <c r="N65" i="9"/>
  <c r="N71" i="9"/>
  <c r="N67" i="9"/>
  <c r="N61" i="9"/>
  <c r="N69" i="9"/>
  <c r="N63" i="9"/>
  <c r="N25" i="9"/>
  <c r="N45" i="9"/>
  <c r="N49" i="9"/>
  <c r="N47" i="9"/>
  <c r="N59" i="9"/>
  <c r="N73" i="9"/>
  <c r="N41" i="9"/>
  <c r="N43" i="9"/>
  <c r="O3" i="9"/>
  <c r="N19" i="9"/>
  <c r="N21" i="9"/>
  <c r="N15" i="9"/>
  <c r="N13" i="9"/>
  <c r="N23" i="9"/>
  <c r="N9" i="9"/>
  <c r="N7" i="9"/>
  <c r="N5" i="9"/>
  <c r="N11" i="9"/>
  <c r="N17" i="9"/>
  <c r="AF101" i="8"/>
  <c r="AX22" i="8" l="1"/>
  <c r="BH22" i="8" s="1"/>
  <c r="AM24" i="8"/>
  <c r="AR24" i="8" s="1"/>
  <c r="BE24" i="8" s="1"/>
  <c r="AM22" i="8"/>
  <c r="AR22" i="8" s="1"/>
  <c r="BE22" i="8" s="1"/>
  <c r="AX24" i="8"/>
  <c r="BH24" i="8" s="1"/>
  <c r="O57" i="9"/>
  <c r="O55" i="9"/>
  <c r="O53" i="9"/>
  <c r="O51" i="9"/>
  <c r="O83" i="9"/>
  <c r="O75" i="9"/>
  <c r="O81" i="9"/>
  <c r="O87" i="9"/>
  <c r="O79" i="9"/>
  <c r="O85" i="9"/>
  <c r="O89" i="9"/>
  <c r="O77" i="9"/>
  <c r="O71" i="9"/>
  <c r="O63" i="9"/>
  <c r="O61" i="9"/>
  <c r="O67" i="9"/>
  <c r="O69" i="9"/>
  <c r="O65" i="9"/>
  <c r="O59" i="9"/>
  <c r="O49" i="9"/>
  <c r="O45" i="9"/>
  <c r="O47" i="9"/>
  <c r="O43" i="9"/>
  <c r="O73" i="9"/>
  <c r="O41" i="9"/>
  <c r="O25" i="9"/>
  <c r="P3" i="9"/>
  <c r="O23" i="9"/>
  <c r="O21" i="9"/>
  <c r="O19" i="9"/>
  <c r="O17" i="9"/>
  <c r="O7" i="9"/>
  <c r="O15" i="9"/>
  <c r="O5" i="9"/>
  <c r="O13" i="9"/>
  <c r="O9" i="9"/>
  <c r="O11" i="9"/>
  <c r="AX21" i="8"/>
  <c r="AX23" i="8"/>
  <c r="AJ7" i="8"/>
  <c r="AJ8" i="8"/>
  <c r="CN24" i="8" l="1"/>
  <c r="CT24" i="8"/>
  <c r="CQ24" i="8"/>
  <c r="CW24" i="8"/>
  <c r="CN22" i="8"/>
  <c r="CQ22" i="8"/>
  <c r="CT22" i="8"/>
  <c r="CW22" i="8"/>
  <c r="CG24" i="8"/>
  <c r="BX24" i="8"/>
  <c r="CD24" i="8"/>
  <c r="CA24" i="8"/>
  <c r="BV24" i="8"/>
  <c r="BV22" i="8"/>
  <c r="BX22" i="8"/>
  <c r="CA22" i="8"/>
  <c r="CD22" i="8"/>
  <c r="CG22" i="8"/>
  <c r="BJ22" i="8"/>
  <c r="BJ24" i="8"/>
  <c r="P55" i="9"/>
  <c r="P53" i="9"/>
  <c r="P51" i="9"/>
  <c r="P57" i="9"/>
  <c r="P75" i="9"/>
  <c r="P79" i="9"/>
  <c r="P89" i="9"/>
  <c r="P85" i="9"/>
  <c r="P81" i="9"/>
  <c r="P77" i="9"/>
  <c r="P87" i="9"/>
  <c r="P83" i="9"/>
  <c r="P69" i="9"/>
  <c r="P61" i="9"/>
  <c r="P67" i="9"/>
  <c r="P65" i="9"/>
  <c r="P63" i="9"/>
  <c r="P71" i="9"/>
  <c r="P49" i="9"/>
  <c r="P45" i="9"/>
  <c r="P59" i="9"/>
  <c r="P47" i="9"/>
  <c r="P73" i="9"/>
  <c r="P41" i="9"/>
  <c r="P25" i="9"/>
  <c r="P43" i="9"/>
  <c r="P23" i="9"/>
  <c r="P21" i="9"/>
  <c r="P19" i="9"/>
  <c r="P17" i="9"/>
  <c r="P15" i="9"/>
  <c r="P5" i="9"/>
  <c r="P11" i="9"/>
  <c r="P7" i="9"/>
  <c r="P9" i="9"/>
  <c r="P13" i="9"/>
  <c r="AU7" i="8"/>
  <c r="AU8" i="8"/>
  <c r="BL24" i="8" l="1"/>
  <c r="BK24" i="8"/>
  <c r="BL22" i="8"/>
  <c r="BK22" i="8"/>
  <c r="R3" i="9"/>
  <c r="P11" i="8"/>
  <c r="CP22" i="8" l="1"/>
  <c r="CR22" i="8" s="1"/>
  <c r="CS22" i="8"/>
  <c r="CU22" i="8" s="1"/>
  <c r="CV22" i="8"/>
  <c r="CX22" i="8" s="1"/>
  <c r="CM22" i="8"/>
  <c r="CO22" i="8" s="1"/>
  <c r="CP24" i="8"/>
  <c r="CR24" i="8" s="1"/>
  <c r="CM24" i="8"/>
  <c r="CO24" i="8" s="1"/>
  <c r="CV24" i="8"/>
  <c r="CX24" i="8" s="1"/>
  <c r="CS24" i="8"/>
  <c r="CU24" i="8" s="1"/>
  <c r="BZ24" i="8"/>
  <c r="CB24" i="8" s="1"/>
  <c r="CC24" i="8"/>
  <c r="CE24" i="8" s="1"/>
  <c r="BW24" i="8"/>
  <c r="BY24" i="8" s="1"/>
  <c r="CF24" i="8"/>
  <c r="CH24" i="8" s="1"/>
  <c r="CC22" i="8"/>
  <c r="CE22" i="8" s="1"/>
  <c r="CF22" i="8"/>
  <c r="CH22" i="8" s="1"/>
  <c r="BW22" i="8"/>
  <c r="BY22" i="8" s="1"/>
  <c r="BZ22" i="8"/>
  <c r="CB22" i="8" s="1"/>
  <c r="R57" i="9"/>
  <c r="R53" i="9"/>
  <c r="R55" i="9"/>
  <c r="R51" i="9"/>
  <c r="R79" i="9"/>
  <c r="R75" i="9"/>
  <c r="R85" i="9"/>
  <c r="R87" i="9"/>
  <c r="R81" i="9"/>
  <c r="R83" i="9"/>
  <c r="R89" i="9"/>
  <c r="R77" i="9"/>
  <c r="R65" i="9"/>
  <c r="R71" i="9"/>
  <c r="R69" i="9"/>
  <c r="R67" i="9"/>
  <c r="R61" i="9"/>
  <c r="R63" i="9"/>
  <c r="R49" i="9"/>
  <c r="R45" i="9"/>
  <c r="R73" i="9"/>
  <c r="R59" i="9"/>
  <c r="R47" i="9"/>
  <c r="R43" i="9"/>
  <c r="R41" i="9"/>
  <c r="S3" i="9"/>
  <c r="R19" i="9"/>
  <c r="R15" i="9"/>
  <c r="R23" i="9"/>
  <c r="R13" i="9"/>
  <c r="R9" i="9"/>
  <c r="R17" i="9"/>
  <c r="R7" i="9"/>
  <c r="R11" i="9"/>
  <c r="R5" i="9"/>
  <c r="R21" i="9"/>
  <c r="AU51" i="8"/>
  <c r="AU50" i="8"/>
  <c r="AU49" i="8"/>
  <c r="AU48" i="8"/>
  <c r="AU47" i="8"/>
  <c r="AU46" i="8"/>
  <c r="AJ51" i="8"/>
  <c r="AJ50" i="8"/>
  <c r="AJ49" i="8"/>
  <c r="AJ48" i="8"/>
  <c r="AJ47" i="8"/>
  <c r="AJ46" i="8"/>
  <c r="S57" i="9" l="1"/>
  <c r="S55" i="9"/>
  <c r="S53" i="9"/>
  <c r="S51" i="9"/>
  <c r="S75" i="9"/>
  <c r="S89" i="9"/>
  <c r="S77" i="9"/>
  <c r="S87" i="9"/>
  <c r="S79" i="9"/>
  <c r="S81" i="9"/>
  <c r="S83" i="9"/>
  <c r="S85" i="9"/>
  <c r="S71" i="9"/>
  <c r="S63" i="9"/>
  <c r="S61" i="9"/>
  <c r="S69" i="9"/>
  <c r="S65" i="9"/>
  <c r="S67" i="9"/>
  <c r="S59" i="9"/>
  <c r="S49" i="9"/>
  <c r="S41" i="9"/>
  <c r="S45" i="9"/>
  <c r="S73" i="9"/>
  <c r="S43" i="9"/>
  <c r="S25" i="9"/>
  <c r="S47" i="9"/>
  <c r="T3" i="9"/>
  <c r="S23" i="9"/>
  <c r="S19" i="9"/>
  <c r="S17" i="9"/>
  <c r="S13" i="9"/>
  <c r="S7" i="9"/>
  <c r="S5" i="9"/>
  <c r="S21" i="9"/>
  <c r="S9" i="9"/>
  <c r="S15" i="9"/>
  <c r="S11" i="9"/>
  <c r="AA81" i="8"/>
  <c r="AB81" i="8"/>
  <c r="AF81" i="8"/>
  <c r="AG81" i="8"/>
  <c r="AA82" i="8"/>
  <c r="AB82" i="8"/>
  <c r="AF82" i="8"/>
  <c r="AG82" i="8"/>
  <c r="AA83" i="8"/>
  <c r="AB83" i="8"/>
  <c r="AF83" i="8"/>
  <c r="AG83" i="8"/>
  <c r="AA84" i="8"/>
  <c r="AB84" i="8"/>
  <c r="AF84" i="8"/>
  <c r="AG84" i="8"/>
  <c r="AA85" i="8"/>
  <c r="AB85" i="8"/>
  <c r="AF85" i="8"/>
  <c r="AG85" i="8"/>
  <c r="AA86" i="8"/>
  <c r="AB86" i="8"/>
  <c r="AF86" i="8"/>
  <c r="AG86" i="8"/>
  <c r="AA87" i="8"/>
  <c r="AB87" i="8"/>
  <c r="AF87" i="8"/>
  <c r="AG87" i="8"/>
  <c r="AA88" i="8"/>
  <c r="AB88" i="8"/>
  <c r="AF88" i="8"/>
  <c r="AG88" i="8"/>
  <c r="AA89" i="8"/>
  <c r="AB89" i="8"/>
  <c r="AF89" i="8"/>
  <c r="AG89" i="8"/>
  <c r="Y52" i="8"/>
  <c r="Z52" i="8"/>
  <c r="AB52" i="8" s="1"/>
  <c r="AD52" i="8"/>
  <c r="AE52" i="8"/>
  <c r="AG52" i="8" s="1"/>
  <c r="Y53" i="8"/>
  <c r="Z53" i="8"/>
  <c r="AB53" i="8" s="1"/>
  <c r="AD53" i="8"/>
  <c r="AE53" i="8"/>
  <c r="AG53" i="8" s="1"/>
  <c r="Y54" i="8"/>
  <c r="Z54" i="8"/>
  <c r="AB54" i="8" s="1"/>
  <c r="AD54" i="8"/>
  <c r="AE54" i="8"/>
  <c r="AG54" i="8" s="1"/>
  <c r="Y55" i="8"/>
  <c r="Z55" i="8"/>
  <c r="AB55" i="8" s="1"/>
  <c r="AD55" i="8"/>
  <c r="AE55" i="8"/>
  <c r="AG55" i="8" s="1"/>
  <c r="Y56" i="8"/>
  <c r="Z56" i="8"/>
  <c r="AB56" i="8" s="1"/>
  <c r="AD56" i="8"/>
  <c r="AE56" i="8"/>
  <c r="AG56" i="8" s="1"/>
  <c r="Y57" i="8"/>
  <c r="Z57" i="8"/>
  <c r="AB57" i="8" s="1"/>
  <c r="AD57" i="8"/>
  <c r="AE57" i="8"/>
  <c r="AG57" i="8" s="1"/>
  <c r="Y58" i="8"/>
  <c r="Z58" i="8"/>
  <c r="AB58" i="8" s="1"/>
  <c r="AD58" i="8"/>
  <c r="AE58" i="8"/>
  <c r="AG58" i="8" s="1"/>
  <c r="Y59" i="8"/>
  <c r="Z59" i="8"/>
  <c r="AB59" i="8" s="1"/>
  <c r="AD59" i="8"/>
  <c r="AE59" i="8"/>
  <c r="AG59" i="8" s="1"/>
  <c r="Y60" i="8"/>
  <c r="Z60" i="8"/>
  <c r="AB60" i="8" s="1"/>
  <c r="AD60" i="8"/>
  <c r="AE60" i="8"/>
  <c r="AG60" i="8" s="1"/>
  <c r="Y61" i="8"/>
  <c r="Z61" i="8"/>
  <c r="AB61" i="8" s="1"/>
  <c r="AD61" i="8"/>
  <c r="AE61" i="8"/>
  <c r="AG61" i="8" s="1"/>
  <c r="Y62" i="8"/>
  <c r="Z62" i="8"/>
  <c r="AB62" i="8" s="1"/>
  <c r="AD62" i="8"/>
  <c r="AE62" i="8"/>
  <c r="AG62" i="8" s="1"/>
  <c r="Y63" i="8"/>
  <c r="Z63" i="8"/>
  <c r="AB63" i="8" s="1"/>
  <c r="AD63" i="8"/>
  <c r="AE63" i="8"/>
  <c r="AG63" i="8" s="1"/>
  <c r="Y64" i="8"/>
  <c r="Z64" i="8"/>
  <c r="AB64" i="8" s="1"/>
  <c r="AD64" i="8"/>
  <c r="AE64" i="8"/>
  <c r="AG64" i="8" s="1"/>
  <c r="Y65" i="8"/>
  <c r="Z65" i="8"/>
  <c r="AB65" i="8" s="1"/>
  <c r="AD65" i="8"/>
  <c r="AE65" i="8"/>
  <c r="AG65" i="8" s="1"/>
  <c r="Y66" i="8"/>
  <c r="Z66" i="8"/>
  <c r="AB66" i="8" s="1"/>
  <c r="AD66" i="8"/>
  <c r="AE66" i="8"/>
  <c r="AG66" i="8" s="1"/>
  <c r="Y67" i="8"/>
  <c r="Z67" i="8"/>
  <c r="AB67" i="8" s="1"/>
  <c r="AD67" i="8"/>
  <c r="AE67" i="8"/>
  <c r="AG67" i="8" s="1"/>
  <c r="Y68" i="8"/>
  <c r="Z68" i="8"/>
  <c r="AB68" i="8" s="1"/>
  <c r="AD68" i="8"/>
  <c r="AE68" i="8"/>
  <c r="AG68" i="8" s="1"/>
  <c r="Y69" i="8"/>
  <c r="Z69" i="8"/>
  <c r="AB69" i="8" s="1"/>
  <c r="AD69" i="8"/>
  <c r="AE69" i="8"/>
  <c r="AG69" i="8" s="1"/>
  <c r="Y78" i="8"/>
  <c r="Z78" i="8"/>
  <c r="AB78" i="8" s="1"/>
  <c r="AD78" i="8"/>
  <c r="AE78" i="8"/>
  <c r="AG78" i="8" s="1"/>
  <c r="Y79" i="8"/>
  <c r="Z79" i="8"/>
  <c r="AB79" i="8" s="1"/>
  <c r="AD79" i="8"/>
  <c r="AE79" i="8"/>
  <c r="AG79" i="8" s="1"/>
  <c r="AA80" i="8"/>
  <c r="AB80" i="8"/>
  <c r="AF80" i="8"/>
  <c r="AG80" i="8"/>
  <c r="AD12" i="8"/>
  <c r="AE12" i="8"/>
  <c r="AG12" i="8" s="1"/>
  <c r="AD13" i="8"/>
  <c r="AE13" i="8"/>
  <c r="AG13" i="8" s="1"/>
  <c r="AD14" i="8"/>
  <c r="AE14" i="8"/>
  <c r="AG14" i="8" s="1"/>
  <c r="AD15" i="8"/>
  <c r="AE15" i="8"/>
  <c r="AG15" i="8" s="1"/>
  <c r="AD16" i="8"/>
  <c r="AE16" i="8"/>
  <c r="AG16" i="8" s="1"/>
  <c r="AA17" i="8"/>
  <c r="AB17" i="8"/>
  <c r="AF17" i="8"/>
  <c r="AG17" i="8"/>
  <c r="AA18" i="8"/>
  <c r="AB18" i="8"/>
  <c r="AF18" i="8"/>
  <c r="AG18" i="8"/>
  <c r="AA19" i="8"/>
  <c r="AB19" i="8"/>
  <c r="AF19" i="8"/>
  <c r="AG19" i="8"/>
  <c r="AM7" i="8"/>
  <c r="AR7" i="8" s="1"/>
  <c r="AM8" i="8"/>
  <c r="AR8" i="8" s="1"/>
  <c r="AX7" i="8"/>
  <c r="AX8" i="8"/>
  <c r="AW9" i="8"/>
  <c r="AV9" i="8"/>
  <c r="AU9" i="8"/>
  <c r="AX9" i="8" s="1"/>
  <c r="AX47" i="8"/>
  <c r="AX50" i="8"/>
  <c r="AX48" i="8"/>
  <c r="AX51" i="8"/>
  <c r="AX49" i="8"/>
  <c r="AX46" i="8"/>
  <c r="AV11" i="8"/>
  <c r="AW11" i="8"/>
  <c r="AV12" i="8"/>
  <c r="AW12" i="8"/>
  <c r="AV13" i="8"/>
  <c r="AW13" i="8"/>
  <c r="AV14" i="8"/>
  <c r="AW14" i="8"/>
  <c r="AV15" i="8"/>
  <c r="AW15" i="8"/>
  <c r="AV16" i="8"/>
  <c r="AW16" i="8"/>
  <c r="AV17" i="8"/>
  <c r="AW17" i="8"/>
  <c r="AV18" i="8"/>
  <c r="AW18" i="8"/>
  <c r="AV19" i="8"/>
  <c r="AW19" i="8"/>
  <c r="AV20" i="8"/>
  <c r="AW20" i="8"/>
  <c r="AV25" i="8"/>
  <c r="AW25" i="8"/>
  <c r="AV26" i="8"/>
  <c r="AW26" i="8"/>
  <c r="AV27" i="8"/>
  <c r="AW27" i="8"/>
  <c r="AV28" i="8"/>
  <c r="AW28" i="8"/>
  <c r="AV29" i="8"/>
  <c r="AW29" i="8"/>
  <c r="AV30" i="8"/>
  <c r="AW30" i="8"/>
  <c r="AV31" i="8"/>
  <c r="AW31" i="8"/>
  <c r="AV32" i="8"/>
  <c r="AW32" i="8"/>
  <c r="AV33" i="8"/>
  <c r="AW33" i="8"/>
  <c r="AV34" i="8"/>
  <c r="AW34" i="8"/>
  <c r="AV35" i="8"/>
  <c r="AW35" i="8"/>
  <c r="AV36" i="8"/>
  <c r="AW36" i="8"/>
  <c r="AV37" i="8"/>
  <c r="AW37" i="8"/>
  <c r="AV38" i="8"/>
  <c r="AW38" i="8"/>
  <c r="AV39" i="8"/>
  <c r="AW39" i="8"/>
  <c r="AV40" i="8"/>
  <c r="AW40" i="8"/>
  <c r="AV41" i="8"/>
  <c r="AW41" i="8"/>
  <c r="AV42" i="8"/>
  <c r="AW42" i="8"/>
  <c r="AV43" i="8"/>
  <c r="AW43" i="8"/>
  <c r="AV44" i="8"/>
  <c r="AW44" i="8"/>
  <c r="AV45" i="8"/>
  <c r="AW45" i="8"/>
  <c r="AV52" i="8"/>
  <c r="AW52" i="8"/>
  <c r="AV53" i="8"/>
  <c r="AW53" i="8"/>
  <c r="AV54" i="8"/>
  <c r="AW54" i="8"/>
  <c r="AV55" i="8"/>
  <c r="AW55" i="8"/>
  <c r="AV56" i="8"/>
  <c r="AW56" i="8"/>
  <c r="AV57" i="8"/>
  <c r="AW57" i="8"/>
  <c r="AV58" i="8"/>
  <c r="AW58" i="8"/>
  <c r="AV59" i="8"/>
  <c r="AW59" i="8"/>
  <c r="AV60" i="8"/>
  <c r="AW60" i="8"/>
  <c r="AV61" i="8"/>
  <c r="AW61" i="8"/>
  <c r="AV62" i="8"/>
  <c r="AW62" i="8"/>
  <c r="AV63" i="8"/>
  <c r="AW63" i="8"/>
  <c r="AV64" i="8"/>
  <c r="AW64" i="8"/>
  <c r="AV65" i="8"/>
  <c r="AW65" i="8"/>
  <c r="AV66" i="8"/>
  <c r="AW66" i="8"/>
  <c r="AV67" i="8"/>
  <c r="AW67" i="8"/>
  <c r="AV68" i="8"/>
  <c r="AW68" i="8"/>
  <c r="AV69" i="8"/>
  <c r="AW69" i="8"/>
  <c r="AV72" i="8"/>
  <c r="AW72" i="8"/>
  <c r="AV73" i="8"/>
  <c r="AW73" i="8"/>
  <c r="AV74" i="8"/>
  <c r="AW74" i="8"/>
  <c r="AV75" i="8"/>
  <c r="AW75" i="8"/>
  <c r="AV76" i="8"/>
  <c r="AW76" i="8"/>
  <c r="AV77" i="8"/>
  <c r="AW77" i="8"/>
  <c r="AV78" i="8"/>
  <c r="AW78" i="8"/>
  <c r="AV79" i="8"/>
  <c r="AW79" i="8"/>
  <c r="AV80" i="8"/>
  <c r="AW80" i="8"/>
  <c r="AV81" i="8"/>
  <c r="AW81" i="8"/>
  <c r="AV82" i="8"/>
  <c r="AW82" i="8"/>
  <c r="AV83" i="8"/>
  <c r="AW83" i="8"/>
  <c r="AV84" i="8"/>
  <c r="AW84" i="8"/>
  <c r="AV85" i="8"/>
  <c r="AW85" i="8"/>
  <c r="AV86" i="8"/>
  <c r="AW86" i="8"/>
  <c r="AV87" i="8"/>
  <c r="AW87" i="8"/>
  <c r="AV88" i="8"/>
  <c r="AW88" i="8"/>
  <c r="AV89" i="8"/>
  <c r="AW89" i="8"/>
  <c r="AW10" i="8"/>
  <c r="AV10" i="8"/>
  <c r="AU89" i="8"/>
  <c r="AX89" i="8" s="1"/>
  <c r="AU88" i="8"/>
  <c r="AX88" i="8" s="1"/>
  <c r="AU87" i="8"/>
  <c r="AX87" i="8" s="1"/>
  <c r="AU86" i="8"/>
  <c r="AX86" i="8" s="1"/>
  <c r="AU85" i="8"/>
  <c r="AX85" i="8" s="1"/>
  <c r="AU84" i="8"/>
  <c r="AX84" i="8" s="1"/>
  <c r="AU83" i="8"/>
  <c r="AX83" i="8" s="1"/>
  <c r="AU82" i="8"/>
  <c r="AX82" i="8" s="1"/>
  <c r="AU81" i="8"/>
  <c r="AX81" i="8" s="1"/>
  <c r="AU80" i="8"/>
  <c r="AX80" i="8" s="1"/>
  <c r="AU79" i="8"/>
  <c r="AX79" i="8" s="1"/>
  <c r="AU78" i="8"/>
  <c r="AX78" i="8" s="1"/>
  <c r="AU77" i="8"/>
  <c r="AX77" i="8" s="1"/>
  <c r="AU76" i="8"/>
  <c r="AX76" i="8" s="1"/>
  <c r="AU75" i="8"/>
  <c r="AX75" i="8" s="1"/>
  <c r="AU74" i="8"/>
  <c r="AX74" i="8" s="1"/>
  <c r="AU73" i="8"/>
  <c r="AX73" i="8" s="1"/>
  <c r="AU72" i="8"/>
  <c r="AX72" i="8" s="1"/>
  <c r="AU69" i="8"/>
  <c r="AX69" i="8" s="1"/>
  <c r="AU68" i="8"/>
  <c r="AX68" i="8" s="1"/>
  <c r="AU67" i="8"/>
  <c r="AX67" i="8" s="1"/>
  <c r="AU66" i="8"/>
  <c r="AX66" i="8" s="1"/>
  <c r="AU65" i="8"/>
  <c r="AX65" i="8" s="1"/>
  <c r="AU64" i="8"/>
  <c r="AX64" i="8" s="1"/>
  <c r="AU63" i="8"/>
  <c r="AX63" i="8" s="1"/>
  <c r="AU62" i="8"/>
  <c r="AX62" i="8" s="1"/>
  <c r="AX61" i="8"/>
  <c r="AU60" i="8"/>
  <c r="AX60" i="8" s="1"/>
  <c r="AU59" i="8"/>
  <c r="AX59" i="8" s="1"/>
  <c r="AU58" i="8"/>
  <c r="AX58" i="8" s="1"/>
  <c r="AU57" i="8"/>
  <c r="AX57" i="8" s="1"/>
  <c r="AU56" i="8"/>
  <c r="AX56" i="8" s="1"/>
  <c r="AU55" i="8"/>
  <c r="AX55" i="8" s="1"/>
  <c r="AU54" i="8"/>
  <c r="AX54" i="8" s="1"/>
  <c r="AU53" i="8"/>
  <c r="AX53" i="8" s="1"/>
  <c r="AU52" i="8"/>
  <c r="AX52" i="8" s="1"/>
  <c r="AU45" i="8"/>
  <c r="AX45" i="8" s="1"/>
  <c r="AU44" i="8"/>
  <c r="AX44" i="8" s="1"/>
  <c r="AU43" i="8"/>
  <c r="AX43" i="8" s="1"/>
  <c r="AU42" i="8"/>
  <c r="AX42" i="8" s="1"/>
  <c r="AX41" i="8"/>
  <c r="AU40" i="8"/>
  <c r="AX40" i="8" s="1"/>
  <c r="AU39" i="8"/>
  <c r="AX39" i="8" s="1"/>
  <c r="AU38" i="8"/>
  <c r="AX38" i="8" s="1"/>
  <c r="AU37" i="8"/>
  <c r="AX37" i="8" s="1"/>
  <c r="AU36" i="8"/>
  <c r="AX36" i="8" s="1"/>
  <c r="AU35" i="8"/>
  <c r="AX35" i="8" s="1"/>
  <c r="AU34" i="8"/>
  <c r="AX34" i="8" s="1"/>
  <c r="AU33" i="8"/>
  <c r="AX33" i="8" s="1"/>
  <c r="AU32" i="8"/>
  <c r="AX32" i="8" s="1"/>
  <c r="AU31" i="8"/>
  <c r="AX31" i="8" s="1"/>
  <c r="AU30" i="8"/>
  <c r="AX30" i="8" s="1"/>
  <c r="AU29" i="8"/>
  <c r="AX29" i="8" s="1"/>
  <c r="AU28" i="8"/>
  <c r="AX28" i="8" s="1"/>
  <c r="AU27" i="8"/>
  <c r="AX27" i="8" s="1"/>
  <c r="AU26" i="8"/>
  <c r="AX26" i="8" s="1"/>
  <c r="AU25" i="8"/>
  <c r="AX25" i="8" s="1"/>
  <c r="AU20" i="8"/>
  <c r="AX20" i="8" s="1"/>
  <c r="AU19" i="8"/>
  <c r="AX19" i="8" s="1"/>
  <c r="AU18" i="8"/>
  <c r="AX18" i="8" s="1"/>
  <c r="AU17" i="8"/>
  <c r="AX17" i="8" s="1"/>
  <c r="AU16" i="8"/>
  <c r="AX16" i="8" s="1"/>
  <c r="AU15" i="8"/>
  <c r="AX15" i="8" s="1"/>
  <c r="AU14" i="8"/>
  <c r="AX14" i="8" s="1"/>
  <c r="AU13" i="8"/>
  <c r="AX13" i="8" s="1"/>
  <c r="AU12" i="8"/>
  <c r="AX12" i="8" s="1"/>
  <c r="AU11" i="8"/>
  <c r="AX11" i="8" s="1"/>
  <c r="BH11" i="8" s="1"/>
  <c r="AU10" i="8"/>
  <c r="AX10" i="8" s="1"/>
  <c r="AK10" i="8"/>
  <c r="AL10" i="8"/>
  <c r="AK11" i="8"/>
  <c r="AL11" i="8"/>
  <c r="AK12" i="8"/>
  <c r="AL12" i="8"/>
  <c r="AK13" i="8"/>
  <c r="AL13" i="8"/>
  <c r="AK14" i="8"/>
  <c r="AL14" i="8"/>
  <c r="AK15" i="8"/>
  <c r="AL15" i="8"/>
  <c r="AK16" i="8"/>
  <c r="AL16" i="8"/>
  <c r="AK17" i="8"/>
  <c r="AL17" i="8"/>
  <c r="AK18" i="8"/>
  <c r="AL18" i="8"/>
  <c r="AK19" i="8"/>
  <c r="AL19" i="8"/>
  <c r="AK20" i="8"/>
  <c r="AL20" i="8"/>
  <c r="AK25" i="8"/>
  <c r="AL25" i="8"/>
  <c r="AK26" i="8"/>
  <c r="AL26" i="8"/>
  <c r="AK27" i="8"/>
  <c r="AL27" i="8"/>
  <c r="AK28" i="8"/>
  <c r="AL28" i="8"/>
  <c r="AK29" i="8"/>
  <c r="AL29" i="8"/>
  <c r="AK30" i="8"/>
  <c r="AL30" i="8"/>
  <c r="AK31" i="8"/>
  <c r="AL31" i="8"/>
  <c r="AK32" i="8"/>
  <c r="AL32" i="8"/>
  <c r="AK33" i="8"/>
  <c r="AL33" i="8"/>
  <c r="AK34" i="8"/>
  <c r="AL34" i="8"/>
  <c r="AK35" i="8"/>
  <c r="AL35" i="8"/>
  <c r="AK36" i="8"/>
  <c r="AL36" i="8"/>
  <c r="AK37" i="8"/>
  <c r="AL37" i="8"/>
  <c r="AK38" i="8"/>
  <c r="AL38" i="8"/>
  <c r="AK39" i="8"/>
  <c r="AL39" i="8"/>
  <c r="AK40" i="8"/>
  <c r="AL40" i="8"/>
  <c r="AK41" i="8"/>
  <c r="AL41" i="8"/>
  <c r="AK42" i="8"/>
  <c r="AL42" i="8"/>
  <c r="AK43" i="8"/>
  <c r="AL43" i="8"/>
  <c r="AK44" i="8"/>
  <c r="AL44" i="8"/>
  <c r="AK45" i="8"/>
  <c r="AL45" i="8"/>
  <c r="AK52" i="8"/>
  <c r="AL52" i="8"/>
  <c r="AK53" i="8"/>
  <c r="AL53" i="8"/>
  <c r="AK54" i="8"/>
  <c r="AL54" i="8"/>
  <c r="AK55" i="8"/>
  <c r="AL55" i="8"/>
  <c r="AK56" i="8"/>
  <c r="AL56" i="8"/>
  <c r="AK57" i="8"/>
  <c r="AL57" i="8"/>
  <c r="AK58" i="8"/>
  <c r="AL58" i="8"/>
  <c r="AK59" i="8"/>
  <c r="AL59" i="8"/>
  <c r="AK60" i="8"/>
  <c r="AL60" i="8"/>
  <c r="AK61" i="8"/>
  <c r="AL61" i="8"/>
  <c r="AK62" i="8"/>
  <c r="AL62" i="8"/>
  <c r="AK63" i="8"/>
  <c r="AL63" i="8"/>
  <c r="AK64" i="8"/>
  <c r="AL64" i="8"/>
  <c r="AK65" i="8"/>
  <c r="AL65" i="8"/>
  <c r="AK66" i="8"/>
  <c r="AL66" i="8"/>
  <c r="AK67" i="8"/>
  <c r="AL67" i="8"/>
  <c r="AK68" i="8"/>
  <c r="AL68" i="8"/>
  <c r="AK69" i="8"/>
  <c r="AL69" i="8"/>
  <c r="AK72" i="8"/>
  <c r="AL72" i="8"/>
  <c r="AK73" i="8"/>
  <c r="AL73" i="8"/>
  <c r="AK74" i="8"/>
  <c r="AL74" i="8"/>
  <c r="AK75" i="8"/>
  <c r="AL75" i="8"/>
  <c r="AK76" i="8"/>
  <c r="AL76" i="8"/>
  <c r="AK77" i="8"/>
  <c r="AL77" i="8"/>
  <c r="AK78" i="8"/>
  <c r="AL78" i="8"/>
  <c r="AK79" i="8"/>
  <c r="AL79" i="8"/>
  <c r="AK80" i="8"/>
  <c r="AL80" i="8"/>
  <c r="AK81" i="8"/>
  <c r="AL81" i="8"/>
  <c r="AK82" i="8"/>
  <c r="AL82" i="8"/>
  <c r="AK83" i="8"/>
  <c r="AL83" i="8"/>
  <c r="AK84" i="8"/>
  <c r="AL84" i="8"/>
  <c r="AK85" i="8"/>
  <c r="AL85" i="8"/>
  <c r="AK86" i="8"/>
  <c r="AL86" i="8"/>
  <c r="AK87" i="8"/>
  <c r="AL87" i="8"/>
  <c r="AK88" i="8"/>
  <c r="AL88" i="8"/>
  <c r="AK89" i="8"/>
  <c r="AL89" i="8"/>
  <c r="AL9" i="8"/>
  <c r="AK9" i="8"/>
  <c r="AJ89" i="8"/>
  <c r="AM89" i="8" s="1"/>
  <c r="AJ88" i="8"/>
  <c r="AM88" i="8" s="1"/>
  <c r="AJ87" i="8"/>
  <c r="AM87" i="8" s="1"/>
  <c r="AJ86" i="8"/>
  <c r="AM86" i="8" s="1"/>
  <c r="AJ85" i="8"/>
  <c r="AM85" i="8" s="1"/>
  <c r="AJ84" i="8"/>
  <c r="AM84" i="8" s="1"/>
  <c r="AJ83" i="8"/>
  <c r="AM83" i="8" s="1"/>
  <c r="AJ82" i="8"/>
  <c r="AM82" i="8" s="1"/>
  <c r="AJ81" i="8"/>
  <c r="AM81" i="8" s="1"/>
  <c r="AJ80" i="8"/>
  <c r="AM80" i="8" s="1"/>
  <c r="AJ79" i="8"/>
  <c r="AM79" i="8" s="1"/>
  <c r="AJ78" i="8"/>
  <c r="AM78" i="8" s="1"/>
  <c r="AJ77" i="8"/>
  <c r="AM77" i="8" s="1"/>
  <c r="AJ76" i="8"/>
  <c r="AM76" i="8" s="1"/>
  <c r="AJ75" i="8"/>
  <c r="AM75" i="8" s="1"/>
  <c r="AJ74" i="8"/>
  <c r="AM74" i="8" s="1"/>
  <c r="AJ73" i="8"/>
  <c r="AM73" i="8" s="1"/>
  <c r="AJ72" i="8"/>
  <c r="AM72" i="8" s="1"/>
  <c r="AJ69" i="8"/>
  <c r="AM69" i="8" s="1"/>
  <c r="AJ68" i="8"/>
  <c r="AM68" i="8" s="1"/>
  <c r="AJ67" i="8"/>
  <c r="AM67" i="8" s="1"/>
  <c r="AJ66" i="8"/>
  <c r="AM66" i="8" s="1"/>
  <c r="AJ65" i="8"/>
  <c r="AM65" i="8" s="1"/>
  <c r="AJ64" i="8"/>
  <c r="AM64" i="8" s="1"/>
  <c r="AJ63" i="8"/>
  <c r="AM63" i="8" s="1"/>
  <c r="AJ62" i="8"/>
  <c r="AM62" i="8" s="1"/>
  <c r="AJ61" i="8"/>
  <c r="AM61" i="8" s="1"/>
  <c r="AJ60" i="8"/>
  <c r="AM60" i="8" s="1"/>
  <c r="AJ59" i="8"/>
  <c r="AM59" i="8" s="1"/>
  <c r="AJ58" i="8"/>
  <c r="AM58" i="8" s="1"/>
  <c r="AJ57" i="8"/>
  <c r="AM57" i="8" s="1"/>
  <c r="AJ56" i="8"/>
  <c r="AM56" i="8" s="1"/>
  <c r="AJ55" i="8"/>
  <c r="AM55" i="8" s="1"/>
  <c r="AJ54" i="8"/>
  <c r="AM54" i="8" s="1"/>
  <c r="AJ53" i="8"/>
  <c r="AM53" i="8" s="1"/>
  <c r="AJ52" i="8"/>
  <c r="AM52" i="8" s="1"/>
  <c r="AM51" i="8"/>
  <c r="AM50" i="8"/>
  <c r="AM49" i="8"/>
  <c r="AM48" i="8"/>
  <c r="AM47" i="8"/>
  <c r="AM46" i="8"/>
  <c r="AJ45" i="8"/>
  <c r="AM45" i="8" s="1"/>
  <c r="AJ44" i="8"/>
  <c r="AM44" i="8" s="1"/>
  <c r="AJ43" i="8"/>
  <c r="AM43" i="8" s="1"/>
  <c r="AJ42" i="8"/>
  <c r="AM42" i="8" s="1"/>
  <c r="AJ41" i="8"/>
  <c r="AM41" i="8" s="1"/>
  <c r="AJ40" i="8"/>
  <c r="AM40" i="8" s="1"/>
  <c r="AJ39" i="8"/>
  <c r="AM39" i="8" s="1"/>
  <c r="AJ38" i="8"/>
  <c r="AM38" i="8" s="1"/>
  <c r="AJ37" i="8"/>
  <c r="AM37" i="8" s="1"/>
  <c r="AJ36" i="8"/>
  <c r="AM36" i="8" s="1"/>
  <c r="AJ35" i="8"/>
  <c r="AM35" i="8" s="1"/>
  <c r="AJ34" i="8"/>
  <c r="AM34" i="8" s="1"/>
  <c r="AJ33" i="8"/>
  <c r="AM33" i="8" s="1"/>
  <c r="AJ32" i="8"/>
  <c r="AM32" i="8" s="1"/>
  <c r="AJ31" i="8"/>
  <c r="AM31" i="8" s="1"/>
  <c r="AJ30" i="8"/>
  <c r="AM30" i="8" s="1"/>
  <c r="AJ29" i="8"/>
  <c r="AM29" i="8" s="1"/>
  <c r="AJ28" i="8"/>
  <c r="AM28" i="8" s="1"/>
  <c r="AJ27" i="8"/>
  <c r="AM27" i="8" s="1"/>
  <c r="AJ26" i="8"/>
  <c r="AM26" i="8" s="1"/>
  <c r="AJ25" i="8"/>
  <c r="AM25" i="8" s="1"/>
  <c r="AM23" i="8"/>
  <c r="AR23" i="8" s="1"/>
  <c r="AM21" i="8"/>
  <c r="AR21" i="8" s="1"/>
  <c r="AJ20" i="8"/>
  <c r="AM20" i="8" s="1"/>
  <c r="AJ19" i="8"/>
  <c r="AM19" i="8" s="1"/>
  <c r="AJ18" i="8"/>
  <c r="AM18" i="8" s="1"/>
  <c r="AJ17" i="8"/>
  <c r="AM17" i="8" s="1"/>
  <c r="AJ16" i="8"/>
  <c r="AM16" i="8" s="1"/>
  <c r="AJ15" i="8"/>
  <c r="AM15" i="8" s="1"/>
  <c r="AJ14" i="8"/>
  <c r="AM14" i="8" s="1"/>
  <c r="AJ13" i="8"/>
  <c r="AM13" i="8" s="1"/>
  <c r="AJ12" i="8"/>
  <c r="AM12" i="8" s="1"/>
  <c r="AJ11" i="8"/>
  <c r="AM11" i="8" s="1"/>
  <c r="AJ10" i="8"/>
  <c r="AM10" i="8" s="1"/>
  <c r="AJ9" i="8"/>
  <c r="AM9" i="8" s="1"/>
  <c r="AF16" i="8" l="1"/>
  <c r="AF12" i="8"/>
  <c r="AA79" i="8"/>
  <c r="AC79" i="8" s="1"/>
  <c r="BQ79" i="8"/>
  <c r="BR79" i="8" s="1"/>
  <c r="AF15" i="8"/>
  <c r="AF13" i="8"/>
  <c r="AF79" i="8"/>
  <c r="BS79" i="8"/>
  <c r="BT79" i="8" s="1"/>
  <c r="AF78" i="8"/>
  <c r="BS78" i="8"/>
  <c r="BT78" i="8" s="1"/>
  <c r="AF69" i="8"/>
  <c r="AF68" i="8"/>
  <c r="AF67" i="8"/>
  <c r="AF66" i="8"/>
  <c r="BS66" i="8"/>
  <c r="BT66" i="8" s="1"/>
  <c r="AF65" i="8"/>
  <c r="BS65" i="8"/>
  <c r="BT65" i="8" s="1"/>
  <c r="AF64" i="8"/>
  <c r="AF63" i="8"/>
  <c r="AF62" i="8"/>
  <c r="AF61" i="8"/>
  <c r="AF60" i="8"/>
  <c r="AF59" i="8"/>
  <c r="AF58" i="8"/>
  <c r="AF57" i="8"/>
  <c r="AF56" i="8"/>
  <c r="AF55" i="8"/>
  <c r="AF54" i="8"/>
  <c r="AF53" i="8"/>
  <c r="AF52" i="8"/>
  <c r="AF14" i="8"/>
  <c r="AA78" i="8"/>
  <c r="AC78" i="8" s="1"/>
  <c r="BQ78" i="8"/>
  <c r="BR78" i="8" s="1"/>
  <c r="AA66" i="8"/>
  <c r="BQ66" i="8"/>
  <c r="BR66" i="8" s="1"/>
  <c r="AA65" i="8"/>
  <c r="AC65" i="8" s="1"/>
  <c r="BQ65" i="8"/>
  <c r="BR65" i="8" s="1"/>
  <c r="AA69" i="8"/>
  <c r="AC69" i="8" s="1"/>
  <c r="AA68" i="8"/>
  <c r="AC68" i="8" s="1"/>
  <c r="AA67" i="8"/>
  <c r="AA64" i="8"/>
  <c r="AC64" i="8" s="1"/>
  <c r="AA63" i="8"/>
  <c r="AC63" i="8" s="1"/>
  <c r="AA62" i="8"/>
  <c r="AC62" i="8" s="1"/>
  <c r="AA61" i="8"/>
  <c r="AC61" i="8" s="1"/>
  <c r="AA60" i="8"/>
  <c r="AC60" i="8" s="1"/>
  <c r="AA59" i="8"/>
  <c r="AC59" i="8" s="1"/>
  <c r="AA58" i="8"/>
  <c r="AC58" i="8" s="1"/>
  <c r="AA57" i="8"/>
  <c r="AC57" i="8" s="1"/>
  <c r="AA56" i="8"/>
  <c r="AC56" i="8" s="1"/>
  <c r="AA55" i="8"/>
  <c r="AC55" i="8" s="1"/>
  <c r="AA54" i="8"/>
  <c r="AC54" i="8" s="1"/>
  <c r="AA53" i="8"/>
  <c r="AC53" i="8" s="1"/>
  <c r="AA52" i="8"/>
  <c r="AC52" i="8" s="1"/>
  <c r="T55" i="9"/>
  <c r="T53" i="9"/>
  <c r="T51" i="9"/>
  <c r="T57" i="9"/>
  <c r="T83" i="9"/>
  <c r="T79" i="9"/>
  <c r="T89" i="9"/>
  <c r="T85" i="9"/>
  <c r="T87" i="9"/>
  <c r="T77" i="9"/>
  <c r="T81" i="9"/>
  <c r="T75" i="9"/>
  <c r="T69" i="9"/>
  <c r="T61" i="9"/>
  <c r="T67" i="9"/>
  <c r="T63" i="9"/>
  <c r="T71" i="9"/>
  <c r="T65" i="9"/>
  <c r="T45" i="9"/>
  <c r="T49" i="9"/>
  <c r="T73" i="9"/>
  <c r="T47" i="9"/>
  <c r="T41" i="9"/>
  <c r="T59" i="9"/>
  <c r="T25" i="9"/>
  <c r="T43" i="9"/>
  <c r="U3" i="9"/>
  <c r="T23" i="9"/>
  <c r="T21" i="9"/>
  <c r="T19" i="9"/>
  <c r="T17" i="9"/>
  <c r="T5" i="9"/>
  <c r="T11" i="9"/>
  <c r="T7" i="9"/>
  <c r="T15" i="9"/>
  <c r="T9" i="9"/>
  <c r="T13" i="9"/>
  <c r="AC19" i="8"/>
  <c r="AC67" i="8"/>
  <c r="AC89" i="8"/>
  <c r="AC88" i="8"/>
  <c r="AC85" i="8"/>
  <c r="AC81" i="8"/>
  <c r="AC66" i="8"/>
  <c r="AC80" i="8"/>
  <c r="AC84" i="8"/>
  <c r="AC83" i="8"/>
  <c r="AC82" i="8"/>
  <c r="AC87" i="8"/>
  <c r="AC86" i="8"/>
  <c r="AC18" i="8"/>
  <c r="AC17" i="8"/>
  <c r="BH8" i="8"/>
  <c r="BH47" i="8"/>
  <c r="BH7" i="8"/>
  <c r="BH51" i="8"/>
  <c r="BH49" i="8"/>
  <c r="BH48" i="8"/>
  <c r="BH50" i="8"/>
  <c r="BH46" i="8"/>
  <c r="BK31" i="8"/>
  <c r="BK33" i="8"/>
  <c r="BK34" i="8"/>
  <c r="BK35" i="8"/>
  <c r="BK39" i="8"/>
  <c r="BK41" i="8"/>
  <c r="BK44" i="8"/>
  <c r="BK45" i="8"/>
  <c r="BK46" i="8"/>
  <c r="BK47" i="8"/>
  <c r="BK48" i="8"/>
  <c r="BK49" i="8"/>
  <c r="BK50" i="8"/>
  <c r="BK51" i="8"/>
  <c r="BK52" i="8"/>
  <c r="BK53" i="8"/>
  <c r="BK54" i="8"/>
  <c r="BK55" i="8"/>
  <c r="BK56" i="8"/>
  <c r="BK57" i="8"/>
  <c r="BK58" i="8"/>
  <c r="BK59" i="8"/>
  <c r="BK60" i="8"/>
  <c r="BK61" i="8"/>
  <c r="BK62" i="8"/>
  <c r="BK65" i="8"/>
  <c r="BK66" i="8"/>
  <c r="BK67" i="8"/>
  <c r="BK68" i="8"/>
  <c r="BK69" i="8"/>
  <c r="BK72" i="8"/>
  <c r="BK73" i="8"/>
  <c r="BK74" i="8"/>
  <c r="BK75" i="8"/>
  <c r="BK76" i="8"/>
  <c r="BK77" i="8"/>
  <c r="BK78" i="8"/>
  <c r="BK79" i="8"/>
  <c r="BK80" i="8"/>
  <c r="BK81" i="8"/>
  <c r="BK82" i="8"/>
  <c r="BK83" i="8"/>
  <c r="BK84" i="8"/>
  <c r="BK85" i="8"/>
  <c r="BK86" i="8"/>
  <c r="BK87" i="8"/>
  <c r="BK88" i="8"/>
  <c r="BK89" i="8"/>
  <c r="U53" i="9" l="1"/>
  <c r="U51" i="9"/>
  <c r="U57" i="9"/>
  <c r="U55" i="9"/>
  <c r="U83" i="9"/>
  <c r="U89" i="9"/>
  <c r="U81" i="9"/>
  <c r="U79" i="9"/>
  <c r="U77" i="9"/>
  <c r="U87" i="9"/>
  <c r="U85" i="9"/>
  <c r="U75" i="9"/>
  <c r="U67" i="9"/>
  <c r="U65" i="9"/>
  <c r="U63" i="9"/>
  <c r="U61" i="9"/>
  <c r="U69" i="9"/>
  <c r="U71" i="9"/>
  <c r="U45" i="9"/>
  <c r="U59" i="9"/>
  <c r="U49" i="9"/>
  <c r="U25" i="9"/>
  <c r="U73" i="9"/>
  <c r="U41" i="9"/>
  <c r="U47" i="9"/>
  <c r="U43" i="9"/>
  <c r="V3" i="9"/>
  <c r="U21" i="9"/>
  <c r="U19" i="9"/>
  <c r="U23" i="9"/>
  <c r="U17" i="9"/>
  <c r="U15" i="9"/>
  <c r="U11" i="9"/>
  <c r="U9" i="9"/>
  <c r="U5" i="9"/>
  <c r="U13" i="9"/>
  <c r="U7" i="9"/>
  <c r="R11" i="8"/>
  <c r="Q11" i="8"/>
  <c r="Q8" i="8"/>
  <c r="Q7" i="8"/>
  <c r="Q25" i="8"/>
  <c r="Q10" i="8"/>
  <c r="R23" i="8"/>
  <c r="Q23" i="8"/>
  <c r="R21" i="8"/>
  <c r="Q21" i="8"/>
  <c r="R19" i="8"/>
  <c r="Q19" i="8"/>
  <c r="R18" i="8"/>
  <c r="Q18" i="8"/>
  <c r="R17" i="8"/>
  <c r="Q17" i="8"/>
  <c r="Q20" i="8"/>
  <c r="R20" i="8"/>
  <c r="R30" i="8"/>
  <c r="Q27" i="8"/>
  <c r="V57" i="9" l="1"/>
  <c r="V55" i="9"/>
  <c r="V51" i="9"/>
  <c r="V53" i="9"/>
  <c r="V87" i="9"/>
  <c r="V79" i="9"/>
  <c r="V81" i="9"/>
  <c r="V83" i="9"/>
  <c r="V85" i="9"/>
  <c r="V77" i="9"/>
  <c r="V89" i="9"/>
  <c r="V75" i="9"/>
  <c r="V65" i="9"/>
  <c r="V63" i="9"/>
  <c r="V61" i="9"/>
  <c r="V71" i="9"/>
  <c r="V69" i="9"/>
  <c r="V67" i="9"/>
  <c r="V59" i="9"/>
  <c r="V45" i="9"/>
  <c r="V43" i="9"/>
  <c r="V41" i="9"/>
  <c r="V25" i="9"/>
  <c r="V73" i="9"/>
  <c r="V47" i="9"/>
  <c r="V49" i="9"/>
  <c r="W3" i="9"/>
  <c r="V19" i="9"/>
  <c r="V23" i="9"/>
  <c r="V21" i="9"/>
  <c r="V17" i="9"/>
  <c r="V15" i="9"/>
  <c r="V13" i="9"/>
  <c r="V9" i="9"/>
  <c r="V7" i="9"/>
  <c r="V5" i="9"/>
  <c r="V11" i="9"/>
  <c r="Z26" i="8"/>
  <c r="AB26" i="8" s="1"/>
  <c r="Y26" i="8"/>
  <c r="AD9" i="8"/>
  <c r="AE9" i="8"/>
  <c r="AG9" i="8" s="1"/>
  <c r="Z10" i="8"/>
  <c r="AB10" i="8" s="1"/>
  <c r="Y10" i="8"/>
  <c r="Z11" i="8"/>
  <c r="AB11" i="8" s="1"/>
  <c r="Y11" i="8"/>
  <c r="Y16" i="8"/>
  <c r="Z16" i="8"/>
  <c r="AB16" i="8" s="1"/>
  <c r="Z40" i="8"/>
  <c r="AB40" i="8" s="1"/>
  <c r="Y40" i="8"/>
  <c r="AE10" i="8"/>
  <c r="AG10" i="8" s="1"/>
  <c r="AD10" i="8"/>
  <c r="Y8" i="8"/>
  <c r="Z8" i="8"/>
  <c r="AB8" i="8" s="1"/>
  <c r="AE11" i="8"/>
  <c r="AG11" i="8" s="1"/>
  <c r="AD11" i="8"/>
  <c r="AD20" i="8"/>
  <c r="AE20" i="8"/>
  <c r="AG20" i="8" s="1"/>
  <c r="Z25" i="8"/>
  <c r="AB25" i="8" s="1"/>
  <c r="Y25" i="8"/>
  <c r="Z9" i="8"/>
  <c r="AB9" i="8" s="1"/>
  <c r="Y9" i="8"/>
  <c r="Y12" i="8"/>
  <c r="Z12" i="8"/>
  <c r="AB12" i="8" s="1"/>
  <c r="Y20" i="8"/>
  <c r="Z20" i="8"/>
  <c r="AB20" i="8" s="1"/>
  <c r="Z15" i="8"/>
  <c r="AB15" i="8" s="1"/>
  <c r="Y15" i="8"/>
  <c r="AE21" i="8"/>
  <c r="AG21" i="8" s="1"/>
  <c r="AD21" i="8"/>
  <c r="AD26" i="8"/>
  <c r="AE26" i="8"/>
  <c r="AG26" i="8" s="1"/>
  <c r="Y23" i="8"/>
  <c r="Z23" i="8"/>
  <c r="AB23" i="8" s="1"/>
  <c r="AE23" i="8"/>
  <c r="AG23" i="8" s="1"/>
  <c r="AD23" i="8"/>
  <c r="Z21" i="8"/>
  <c r="AB21" i="8" s="1"/>
  <c r="Y21" i="8"/>
  <c r="AD25" i="8"/>
  <c r="AE25" i="8"/>
  <c r="AG25" i="8" s="1"/>
  <c r="Y27" i="8"/>
  <c r="Z27" i="8"/>
  <c r="AB27" i="8" s="1"/>
  <c r="AE30" i="8"/>
  <c r="AG30" i="8" s="1"/>
  <c r="AD30" i="8"/>
  <c r="Y30" i="8"/>
  <c r="Z30" i="8"/>
  <c r="AB30" i="8" s="1"/>
  <c r="AO49" i="8"/>
  <c r="AR49" i="8" s="1"/>
  <c r="BE49" i="8" s="1"/>
  <c r="AO48" i="8"/>
  <c r="AO50" i="8"/>
  <c r="AR50" i="8" s="1"/>
  <c r="AO51" i="8"/>
  <c r="AA27" i="8" l="1"/>
  <c r="AF20" i="8"/>
  <c r="AF9" i="8"/>
  <c r="AF10" i="8"/>
  <c r="AF25" i="8"/>
  <c r="AF26" i="8"/>
  <c r="AA30" i="8"/>
  <c r="CN8" i="8"/>
  <c r="AF11" i="8"/>
  <c r="AF21" i="8"/>
  <c r="AA25" i="8"/>
  <c r="BU25" i="8"/>
  <c r="AA10" i="8"/>
  <c r="AC10" i="8" s="1"/>
  <c r="BU10" i="8"/>
  <c r="AA21" i="8"/>
  <c r="AC21" i="8" s="1"/>
  <c r="BU21" i="8"/>
  <c r="AA11" i="8"/>
  <c r="AC11" i="8" s="1"/>
  <c r="BU11" i="8"/>
  <c r="BU23" i="8"/>
  <c r="AA20" i="8"/>
  <c r="AC20" i="8" s="1"/>
  <c r="BU20" i="8"/>
  <c r="AA8" i="8"/>
  <c r="AC8" i="8" s="1"/>
  <c r="AA26" i="8"/>
  <c r="AC26" i="8" s="1"/>
  <c r="BU26" i="8"/>
  <c r="AA9" i="8"/>
  <c r="AC9" i="8" s="1"/>
  <c r="BU9" i="8"/>
  <c r="AA40" i="8"/>
  <c r="AC40" i="8" s="1"/>
  <c r="AF30" i="8"/>
  <c r="BU30" i="8"/>
  <c r="AA15" i="8"/>
  <c r="AC15" i="8" s="1"/>
  <c r="BU15" i="8"/>
  <c r="AA12" i="8"/>
  <c r="AC12" i="8" s="1"/>
  <c r="BU12" i="8"/>
  <c r="AA16" i="8"/>
  <c r="AC16" i="8" s="1"/>
  <c r="BU16" i="8"/>
  <c r="W57" i="9"/>
  <c r="W55" i="9"/>
  <c r="W53" i="9"/>
  <c r="W51" i="9"/>
  <c r="W87" i="9"/>
  <c r="W79" i="9"/>
  <c r="W85" i="9"/>
  <c r="W83" i="9"/>
  <c r="W81" i="9"/>
  <c r="W75" i="9"/>
  <c r="W89" i="9"/>
  <c r="W77" i="9"/>
  <c r="W71" i="9"/>
  <c r="W63" i="9"/>
  <c r="W69" i="9"/>
  <c r="W67" i="9"/>
  <c r="W65" i="9"/>
  <c r="W61" i="9"/>
  <c r="W49" i="9"/>
  <c r="W45" i="9"/>
  <c r="W25" i="9"/>
  <c r="W41" i="9"/>
  <c r="W59" i="9"/>
  <c r="W73" i="9"/>
  <c r="W47" i="9"/>
  <c r="W43" i="9"/>
  <c r="X3" i="9"/>
  <c r="W21" i="9"/>
  <c r="W7" i="9"/>
  <c r="W19" i="9"/>
  <c r="W15" i="9"/>
  <c r="W13" i="9"/>
  <c r="W5" i="9"/>
  <c r="W23" i="9"/>
  <c r="W9" i="9"/>
  <c r="W11" i="9"/>
  <c r="W17" i="9"/>
  <c r="AA23" i="8"/>
  <c r="AC23" i="8" s="1"/>
  <c r="BM23" i="8"/>
  <c r="BQ23" i="8" s="1"/>
  <c r="AF23" i="8"/>
  <c r="BO23" i="8"/>
  <c r="BS23" i="8" s="1"/>
  <c r="AR51" i="8"/>
  <c r="BE51" i="8" s="1"/>
  <c r="AR48" i="8"/>
  <c r="BE48" i="8" s="1"/>
  <c r="AC25" i="8"/>
  <c r="AC30" i="8"/>
  <c r="AC27" i="8"/>
  <c r="BE50" i="8"/>
  <c r="AP17" i="8"/>
  <c r="AQ17" i="8"/>
  <c r="AP18" i="8"/>
  <c r="AQ18" i="8"/>
  <c r="AP19" i="8"/>
  <c r="AQ19" i="8"/>
  <c r="CT11" i="8" l="1"/>
  <c r="CQ8" i="8"/>
  <c r="CN11" i="8"/>
  <c r="BN23" i="8"/>
  <c r="BR23" i="8" s="1"/>
  <c r="BP23" i="8"/>
  <c r="BT23" i="8" s="1"/>
  <c r="X55" i="9"/>
  <c r="X53" i="9"/>
  <c r="X51" i="9"/>
  <c r="X57" i="9"/>
  <c r="X87" i="9"/>
  <c r="X81" i="9"/>
  <c r="X77" i="9"/>
  <c r="X83" i="9"/>
  <c r="X79" i="9"/>
  <c r="X75" i="9"/>
  <c r="X89" i="9"/>
  <c r="X85" i="9"/>
  <c r="X69" i="9"/>
  <c r="X61" i="9"/>
  <c r="X71" i="9"/>
  <c r="X67" i="9"/>
  <c r="X63" i="9"/>
  <c r="X65" i="9"/>
  <c r="X25" i="9"/>
  <c r="X59" i="9"/>
  <c r="X47" i="9"/>
  <c r="X41" i="9"/>
  <c r="X43" i="9"/>
  <c r="X45" i="9"/>
  <c r="X73" i="9"/>
  <c r="X49" i="9"/>
  <c r="Y3" i="9"/>
  <c r="X23" i="9"/>
  <c r="X17" i="9"/>
  <c r="X21" i="9"/>
  <c r="X19" i="9"/>
  <c r="X15" i="9"/>
  <c r="X13" i="9"/>
  <c r="X5" i="9"/>
  <c r="X11" i="9"/>
  <c r="X7" i="9"/>
  <c r="X9" i="9"/>
  <c r="P8" i="8"/>
  <c r="AE7" i="8"/>
  <c r="CQ11" i="8" l="1"/>
  <c r="CW11" i="8"/>
  <c r="Y53" i="9"/>
  <c r="Y57" i="9"/>
  <c r="Y51" i="9"/>
  <c r="Y55" i="9"/>
  <c r="Y81" i="9"/>
  <c r="Y87" i="9"/>
  <c r="Y85" i="9"/>
  <c r="Y83" i="9"/>
  <c r="Y89" i="9"/>
  <c r="Y75" i="9"/>
  <c r="Y79" i="9"/>
  <c r="Y77" i="9"/>
  <c r="Y67" i="9"/>
  <c r="Y71" i="9"/>
  <c r="Y65" i="9"/>
  <c r="Y61" i="9"/>
  <c r="Y69" i="9"/>
  <c r="Y63" i="9"/>
  <c r="Y49" i="9"/>
  <c r="Y59" i="9"/>
  <c r="Y45" i="9"/>
  <c r="Y73" i="9"/>
  <c r="Y47" i="9"/>
  <c r="Y25" i="9"/>
  <c r="Y43" i="9"/>
  <c r="Y41" i="9"/>
  <c r="Z3" i="9"/>
  <c r="Y21" i="9"/>
  <c r="Y19" i="9"/>
  <c r="Y15" i="9"/>
  <c r="Y11" i="9"/>
  <c r="Y9" i="9"/>
  <c r="Y23" i="9"/>
  <c r="Y13" i="9"/>
  <c r="Y5" i="9"/>
  <c r="Y17" i="9"/>
  <c r="Y7" i="9"/>
  <c r="AD8" i="8"/>
  <c r="AE8" i="8"/>
  <c r="AG8" i="8" s="1"/>
  <c r="CJ8" i="8"/>
  <c r="AD7" i="8"/>
  <c r="Z7" i="8"/>
  <c r="Y7" i="8"/>
  <c r="AG7" i="8"/>
  <c r="BG13" i="8"/>
  <c r="BF13" i="8"/>
  <c r="BH13" i="8"/>
  <c r="AQ13" i="8"/>
  <c r="BD13" i="8" s="1"/>
  <c r="AP13" i="8"/>
  <c r="BC13" i="8" s="1"/>
  <c r="BG14" i="8"/>
  <c r="BF14" i="8"/>
  <c r="BH14" i="8"/>
  <c r="AO14" i="8"/>
  <c r="AQ14" i="8" s="1"/>
  <c r="BD14" i="8" s="1"/>
  <c r="AO15" i="8"/>
  <c r="AP15" i="8" s="1"/>
  <c r="BC15" i="8" s="1"/>
  <c r="BH15" i="8"/>
  <c r="BF15" i="8"/>
  <c r="BG15" i="8"/>
  <c r="AO16" i="8"/>
  <c r="AP16" i="8" s="1"/>
  <c r="BC16" i="8" s="1"/>
  <c r="BH16" i="8"/>
  <c r="CQ16" i="8" s="1"/>
  <c r="BF16" i="8"/>
  <c r="BG16" i="8"/>
  <c r="BD17" i="8"/>
  <c r="BH17" i="8"/>
  <c r="BF17" i="8"/>
  <c r="BG17" i="8"/>
  <c r="BM17" i="8"/>
  <c r="BO17" i="8"/>
  <c r="CK17" i="8"/>
  <c r="CL17" i="8"/>
  <c r="BC18" i="8"/>
  <c r="BD18" i="8"/>
  <c r="BH18" i="8"/>
  <c r="BF18" i="8"/>
  <c r="BG18" i="8"/>
  <c r="BM18" i="8"/>
  <c r="BO18" i="8"/>
  <c r="CK18" i="8"/>
  <c r="CL18" i="8"/>
  <c r="BH23" i="8"/>
  <c r="BH21" i="8"/>
  <c r="BF25" i="8"/>
  <c r="CN23" i="8" l="1"/>
  <c r="CT23" i="8"/>
  <c r="CQ23" i="8"/>
  <c r="CW23" i="8"/>
  <c r="CN17" i="8"/>
  <c r="CQ17" i="8"/>
  <c r="CT15" i="8"/>
  <c r="CW15" i="8"/>
  <c r="CN15" i="8"/>
  <c r="CQ15" i="8"/>
  <c r="CN18" i="8"/>
  <c r="CQ18" i="8"/>
  <c r="CT14" i="8"/>
  <c r="CW14" i="8"/>
  <c r="CT16" i="8"/>
  <c r="CW16" i="8"/>
  <c r="CN16" i="8"/>
  <c r="CT13" i="8"/>
  <c r="CW13" i="8"/>
  <c r="AF7" i="8"/>
  <c r="BU7" i="8"/>
  <c r="AF8" i="8"/>
  <c r="BU8" i="8"/>
  <c r="CD23" i="8"/>
  <c r="BX23" i="8"/>
  <c r="CD17" i="8"/>
  <c r="CC17" i="8"/>
  <c r="CA23" i="8"/>
  <c r="BN17" i="8"/>
  <c r="BX17" i="8"/>
  <c r="CD18" i="8"/>
  <c r="CC18" i="8"/>
  <c r="BX18" i="8"/>
  <c r="CG23" i="8"/>
  <c r="Z57" i="9"/>
  <c r="Z55" i="9"/>
  <c r="Z53" i="9"/>
  <c r="Z51" i="9"/>
  <c r="Z83" i="9"/>
  <c r="Z79" i="9"/>
  <c r="Z85" i="9"/>
  <c r="Z89" i="9"/>
  <c r="Z87" i="9"/>
  <c r="Z75" i="9"/>
  <c r="Z81" i="9"/>
  <c r="Z77" i="9"/>
  <c r="Z65" i="9"/>
  <c r="Z63" i="9"/>
  <c r="Z61" i="9"/>
  <c r="Z71" i="9"/>
  <c r="Z69" i="9"/>
  <c r="Z67" i="9"/>
  <c r="Z59" i="9"/>
  <c r="Z45" i="9"/>
  <c r="Z25" i="9"/>
  <c r="Z49" i="9"/>
  <c r="Z73" i="9"/>
  <c r="Z47" i="9"/>
  <c r="Z43" i="9"/>
  <c r="Z41" i="9"/>
  <c r="AA3" i="9"/>
  <c r="Z19" i="9"/>
  <c r="Z23" i="9"/>
  <c r="Z21" i="9"/>
  <c r="Z15" i="9"/>
  <c r="Z17" i="9"/>
  <c r="Z13" i="9"/>
  <c r="Z9" i="9"/>
  <c r="Z7" i="9"/>
  <c r="Z11" i="9"/>
  <c r="Z5" i="9"/>
  <c r="CL8" i="8"/>
  <c r="Z14" i="8"/>
  <c r="AB14" i="8" s="1"/>
  <c r="Y14" i="8"/>
  <c r="Z13" i="8"/>
  <c r="AB13" i="8" s="1"/>
  <c r="Y13" i="8"/>
  <c r="BO7" i="8"/>
  <c r="BS7" i="8" s="1"/>
  <c r="CL7" i="8"/>
  <c r="CJ18" i="8"/>
  <c r="AQ15" i="8"/>
  <c r="BD15" i="8" s="1"/>
  <c r="BO15" i="8"/>
  <c r="AR13" i="8"/>
  <c r="BE13" i="8" s="1"/>
  <c r="BO8" i="8"/>
  <c r="BE8" i="8"/>
  <c r="BM8" i="8"/>
  <c r="AB7" i="8"/>
  <c r="BM7" i="8"/>
  <c r="BQ7" i="8" s="1"/>
  <c r="CN7" i="8" s="1"/>
  <c r="CJ7" i="8"/>
  <c r="AA7" i="8"/>
  <c r="BE7" i="8"/>
  <c r="AR17" i="8"/>
  <c r="BE17" i="8" s="1"/>
  <c r="BC17" i="8"/>
  <c r="CI18" i="8"/>
  <c r="AR18" i="8"/>
  <c r="BE18" i="8" s="1"/>
  <c r="AQ16" i="8"/>
  <c r="BD16" i="8" s="1"/>
  <c r="CL16" i="8" s="1"/>
  <c r="CK15" i="8"/>
  <c r="BP18" i="8"/>
  <c r="CJ17" i="8"/>
  <c r="AP14" i="8"/>
  <c r="BN18" i="8"/>
  <c r="BP17" i="8"/>
  <c r="BV8" i="8" l="1"/>
  <c r="CT7" i="8"/>
  <c r="CT8" i="8"/>
  <c r="BV18" i="8"/>
  <c r="CN14" i="8"/>
  <c r="BV17" i="8"/>
  <c r="CE17" i="8"/>
  <c r="AA14" i="8"/>
  <c r="AC14" i="8" s="1"/>
  <c r="BU14" i="8"/>
  <c r="AA13" i="8"/>
  <c r="BV13" i="8" s="1"/>
  <c r="BU13" i="8"/>
  <c r="CD15" i="8"/>
  <c r="CA18" i="8"/>
  <c r="BX7" i="8"/>
  <c r="CD8" i="8"/>
  <c r="CE18" i="8"/>
  <c r="CA17" i="8"/>
  <c r="CF17" i="8"/>
  <c r="CG17" i="8"/>
  <c r="CG18" i="8"/>
  <c r="CF18" i="8"/>
  <c r="BX8" i="8"/>
  <c r="CD7" i="8"/>
  <c r="BJ13" i="8"/>
  <c r="BL13" i="8" s="1"/>
  <c r="AA57" i="9"/>
  <c r="AA55" i="9"/>
  <c r="AA53" i="9"/>
  <c r="AA51" i="9"/>
  <c r="AA79" i="9"/>
  <c r="AA85" i="9"/>
  <c r="AA83" i="9"/>
  <c r="AA75" i="9"/>
  <c r="AA81" i="9"/>
  <c r="AA77" i="9"/>
  <c r="AA87" i="9"/>
  <c r="AA89" i="9"/>
  <c r="AA71" i="9"/>
  <c r="AA63" i="9"/>
  <c r="AA61" i="9"/>
  <c r="AA69" i="9"/>
  <c r="AA67" i="9"/>
  <c r="AA65" i="9"/>
  <c r="AA49" i="9"/>
  <c r="AA45" i="9"/>
  <c r="AA59" i="9"/>
  <c r="AA73" i="9"/>
  <c r="AA25" i="9"/>
  <c r="AA47" i="9"/>
  <c r="AA43" i="9"/>
  <c r="AA41" i="9"/>
  <c r="AB3" i="9"/>
  <c r="AA23" i="9"/>
  <c r="AA21" i="9"/>
  <c r="AA19" i="9"/>
  <c r="AA17" i="9"/>
  <c r="AA7" i="9"/>
  <c r="AA5" i="9"/>
  <c r="AA15" i="9"/>
  <c r="AA9" i="9"/>
  <c r="AA13" i="9"/>
  <c r="AA11" i="9"/>
  <c r="BP7" i="8"/>
  <c r="BT7" i="8" s="1"/>
  <c r="AC7" i="8"/>
  <c r="CI15" i="8"/>
  <c r="BM13" i="8"/>
  <c r="BO13" i="8"/>
  <c r="CI16" i="8"/>
  <c r="BM16" i="8"/>
  <c r="BM15" i="8"/>
  <c r="AR15" i="8"/>
  <c r="BE15" i="8" s="1"/>
  <c r="BO16" i="8"/>
  <c r="CL15" i="8"/>
  <c r="CK16" i="8"/>
  <c r="CJ15" i="8"/>
  <c r="CI8" i="8"/>
  <c r="BN8" i="8"/>
  <c r="BP8" i="8"/>
  <c r="BJ8" i="8"/>
  <c r="BL8" i="8" s="1"/>
  <c r="CC8" i="8" s="1"/>
  <c r="CK8" i="8"/>
  <c r="CI7" i="8"/>
  <c r="CK7" i="8"/>
  <c r="BN7" i="8"/>
  <c r="BR7" i="8" s="1"/>
  <c r="CQ7" i="8" s="1"/>
  <c r="CI17" i="8"/>
  <c r="CJ16" i="8"/>
  <c r="AR16" i="8"/>
  <c r="BE16" i="8" s="1"/>
  <c r="BP15" i="8"/>
  <c r="BO14" i="8"/>
  <c r="BM14" i="8"/>
  <c r="AR14" i="8"/>
  <c r="BE14" i="8" s="1"/>
  <c r="BC14" i="8"/>
  <c r="BJ18" i="8"/>
  <c r="BL18" i="8" s="1"/>
  <c r="BW18" i="8" s="1"/>
  <c r="BY18" i="8" s="1"/>
  <c r="AO20" i="8"/>
  <c r="AO12" i="8"/>
  <c r="CM13" i="8" l="1"/>
  <c r="CN13" i="8"/>
  <c r="CS8" i="8"/>
  <c r="CU8" i="8" s="1"/>
  <c r="CW8" i="8"/>
  <c r="CV8" i="8"/>
  <c r="CS13" i="8"/>
  <c r="CU13" i="8" s="1"/>
  <c r="CQ13" i="8"/>
  <c r="CP13" i="8"/>
  <c r="CP18" i="8"/>
  <c r="CR18" i="8" s="1"/>
  <c r="CW7" i="8"/>
  <c r="CP8" i="8"/>
  <c r="CR8" i="8" s="1"/>
  <c r="CV13" i="8"/>
  <c r="CX13" i="8" s="1"/>
  <c r="CV14" i="8"/>
  <c r="CX14" i="8" s="1"/>
  <c r="BV16" i="8"/>
  <c r="CQ14" i="8"/>
  <c r="CM18" i="8"/>
  <c r="CO18" i="8" s="1"/>
  <c r="CM8" i="8"/>
  <c r="CO8" i="8" s="1"/>
  <c r="CE8" i="8"/>
  <c r="BV14" i="8"/>
  <c r="CH18" i="8"/>
  <c r="AC13" i="8"/>
  <c r="BW8" i="8"/>
  <c r="BY8" i="8" s="1"/>
  <c r="CH17" i="8"/>
  <c r="CD16" i="8"/>
  <c r="BJ15" i="8"/>
  <c r="BL15" i="8" s="1"/>
  <c r="CF15" i="8" s="1"/>
  <c r="BV15" i="8"/>
  <c r="CG8" i="8"/>
  <c r="CF8" i="8"/>
  <c r="BX15" i="8"/>
  <c r="BX13" i="8"/>
  <c r="BW13" i="8"/>
  <c r="BK13" i="8"/>
  <c r="CD14" i="8"/>
  <c r="CG15" i="8"/>
  <c r="CA7" i="8"/>
  <c r="CD13" i="8"/>
  <c r="CC13" i="8"/>
  <c r="CG7" i="8"/>
  <c r="BZ18" i="8"/>
  <c r="CB18" i="8" s="1"/>
  <c r="BX14" i="8"/>
  <c r="BZ8" i="8"/>
  <c r="CA8" i="8"/>
  <c r="BX16" i="8"/>
  <c r="AB55" i="9"/>
  <c r="AB53" i="9"/>
  <c r="AB51" i="9"/>
  <c r="AB57" i="9"/>
  <c r="AB85" i="9"/>
  <c r="AB83" i="9"/>
  <c r="AB75" i="9"/>
  <c r="AB81" i="9"/>
  <c r="AB79" i="9"/>
  <c r="AB89" i="9"/>
  <c r="AB87" i="9"/>
  <c r="AB77" i="9"/>
  <c r="AB69" i="9"/>
  <c r="AB61" i="9"/>
  <c r="AB67" i="9"/>
  <c r="AB65" i="9"/>
  <c r="AB63" i="9"/>
  <c r="AB71" i="9"/>
  <c r="AB25" i="9"/>
  <c r="AB59" i="9"/>
  <c r="AB49" i="9"/>
  <c r="AB43" i="9"/>
  <c r="AB45" i="9"/>
  <c r="AB73" i="9"/>
  <c r="AB41" i="9"/>
  <c r="AB47" i="9"/>
  <c r="AC3" i="9"/>
  <c r="AB23" i="9"/>
  <c r="AB17" i="9"/>
  <c r="AB19" i="9"/>
  <c r="AB5" i="9"/>
  <c r="AB21" i="9"/>
  <c r="AB13" i="9"/>
  <c r="AB11" i="9"/>
  <c r="AB7" i="9"/>
  <c r="AB9" i="9"/>
  <c r="AB15" i="9"/>
  <c r="BN13" i="8"/>
  <c r="BK18" i="8"/>
  <c r="BK8" i="8"/>
  <c r="BP13" i="8"/>
  <c r="BN15" i="8"/>
  <c r="BV7" i="8"/>
  <c r="BJ16" i="8"/>
  <c r="BL16" i="8" s="1"/>
  <c r="CC16" i="8" s="1"/>
  <c r="BP16" i="8"/>
  <c r="BN16" i="8"/>
  <c r="BL7" i="8"/>
  <c r="CV7" i="8" s="1"/>
  <c r="BJ17" i="8"/>
  <c r="BL17" i="8" s="1"/>
  <c r="BN14" i="8"/>
  <c r="BP14" i="8"/>
  <c r="BJ14" i="8"/>
  <c r="BL14" i="8" s="1"/>
  <c r="CS14" i="8" s="1"/>
  <c r="CU14" i="8" s="1"/>
  <c r="CP16" i="8" l="1"/>
  <c r="CR16" i="8" s="1"/>
  <c r="CO13" i="8"/>
  <c r="CM16" i="8"/>
  <c r="CO16" i="8" s="1"/>
  <c r="CR13" i="8"/>
  <c r="CS15" i="8"/>
  <c r="CU15" i="8" s="1"/>
  <c r="CP15" i="8"/>
  <c r="CR15" i="8" s="1"/>
  <c r="CP14" i="8"/>
  <c r="CR14" i="8" s="1"/>
  <c r="CV16" i="8"/>
  <c r="CX16" i="8" s="1"/>
  <c r="CX7" i="8"/>
  <c r="CM15" i="8"/>
  <c r="CO15" i="8" s="1"/>
  <c r="CX8" i="8"/>
  <c r="CM17" i="8"/>
  <c r="CO17" i="8" s="1"/>
  <c r="CP17" i="8"/>
  <c r="CR17" i="8" s="1"/>
  <c r="CC14" i="8"/>
  <c r="CE14" i="8" s="1"/>
  <c r="CM14" i="8"/>
  <c r="CO14" i="8" s="1"/>
  <c r="BZ7" i="8"/>
  <c r="CS7" i="8"/>
  <c r="CU7" i="8" s="1"/>
  <c r="CM7" i="8"/>
  <c r="CO7" i="8" s="1"/>
  <c r="CP7" i="8"/>
  <c r="CR7" i="8" s="1"/>
  <c r="CS16" i="8"/>
  <c r="CU16" i="8" s="1"/>
  <c r="CV15" i="8"/>
  <c r="CX15" i="8" s="1"/>
  <c r="CE16" i="8"/>
  <c r="BW15" i="8"/>
  <c r="BY15" i="8" s="1"/>
  <c r="BK15" i="8"/>
  <c r="CC15" i="8"/>
  <c r="CE15" i="8" s="1"/>
  <c r="CH15" i="8"/>
  <c r="BZ16" i="8"/>
  <c r="CA16" i="8"/>
  <c r="BZ14" i="8"/>
  <c r="CA14" i="8"/>
  <c r="CG16" i="8"/>
  <c r="CF16" i="8"/>
  <c r="CF13" i="8"/>
  <c r="CG13" i="8"/>
  <c r="CA13" i="8"/>
  <c r="BZ13" i="8"/>
  <c r="CF7" i="8"/>
  <c r="CH7" i="8" s="1"/>
  <c r="BY13" i="8"/>
  <c r="CH8" i="8"/>
  <c r="CC7" i="8"/>
  <c r="CE7" i="8" s="1"/>
  <c r="BW7" i="8"/>
  <c r="BY7" i="8" s="1"/>
  <c r="CG14" i="8"/>
  <c r="CF14" i="8"/>
  <c r="CA15" i="8"/>
  <c r="BZ15" i="8"/>
  <c r="CB8" i="8"/>
  <c r="BW17" i="8"/>
  <c r="BY17" i="8" s="1"/>
  <c r="BZ17" i="8"/>
  <c r="CB17" i="8" s="1"/>
  <c r="BW16" i="8"/>
  <c r="BY16" i="8" s="1"/>
  <c r="BW14" i="8"/>
  <c r="BY14" i="8" s="1"/>
  <c r="CE13" i="8"/>
  <c r="CB7" i="8"/>
  <c r="AC53" i="9"/>
  <c r="AC51" i="9"/>
  <c r="AC55" i="9"/>
  <c r="AC57" i="9"/>
  <c r="AC87" i="9"/>
  <c r="AC83" i="9"/>
  <c r="AC79" i="9"/>
  <c r="AC75" i="9"/>
  <c r="AC89" i="9"/>
  <c r="AC85" i="9"/>
  <c r="AC77" i="9"/>
  <c r="AC81" i="9"/>
  <c r="AC67" i="9"/>
  <c r="AC71" i="9"/>
  <c r="AC69" i="9"/>
  <c r="AC65" i="9"/>
  <c r="AC61" i="9"/>
  <c r="AC63" i="9"/>
  <c r="AC25" i="9"/>
  <c r="AC45" i="9"/>
  <c r="AC47" i="9"/>
  <c r="AC73" i="9"/>
  <c r="AC43" i="9"/>
  <c r="AC41" i="9"/>
  <c r="AC59" i="9"/>
  <c r="AC49" i="9"/>
  <c r="AD3" i="9"/>
  <c r="AC21" i="9"/>
  <c r="AC19" i="9"/>
  <c r="AC23" i="9"/>
  <c r="AC15" i="9"/>
  <c r="AC13" i="9"/>
  <c r="AC11" i="9"/>
  <c r="AC17" i="9"/>
  <c r="AC9" i="9"/>
  <c r="AC7" i="9"/>
  <c r="AC5" i="9"/>
  <c r="BK14" i="8"/>
  <c r="BK17" i="8"/>
  <c r="BK16" i="8"/>
  <c r="BK7" i="8"/>
  <c r="BE21" i="8"/>
  <c r="CJ21" i="8"/>
  <c r="CI21" i="8"/>
  <c r="BM21" i="8"/>
  <c r="BQ21" i="8" s="1"/>
  <c r="CN21" i="8" s="1"/>
  <c r="CH16" i="8" l="1"/>
  <c r="CH14" i="8"/>
  <c r="CH13" i="8"/>
  <c r="BJ21" i="8"/>
  <c r="BL21" i="8" s="1"/>
  <c r="BW21" i="8" s="1"/>
  <c r="BV21" i="8"/>
  <c r="CB13" i="8"/>
  <c r="CB16" i="8"/>
  <c r="BX21" i="8"/>
  <c r="CB15" i="8"/>
  <c r="CB14" i="8"/>
  <c r="AD57" i="9"/>
  <c r="AD55" i="9"/>
  <c r="AD53" i="9"/>
  <c r="AD51" i="9"/>
  <c r="AD87" i="9"/>
  <c r="AD75" i="9"/>
  <c r="AD85" i="9"/>
  <c r="AD81" i="9"/>
  <c r="AD83" i="9"/>
  <c r="AD89" i="9"/>
  <c r="AD77" i="9"/>
  <c r="AD79" i="9"/>
  <c r="AD65" i="9"/>
  <c r="AD69" i="9"/>
  <c r="AD63" i="9"/>
  <c r="AD71" i="9"/>
  <c r="AD67" i="9"/>
  <c r="AD61" i="9"/>
  <c r="AD49" i="9"/>
  <c r="AD45" i="9"/>
  <c r="AD59" i="9"/>
  <c r="AD47" i="9"/>
  <c r="AD43" i="9"/>
  <c r="AD25" i="9"/>
  <c r="AD73" i="9"/>
  <c r="AD41" i="9"/>
  <c r="AE3" i="9"/>
  <c r="AD19" i="9"/>
  <c r="AD23" i="9"/>
  <c r="AD15" i="9"/>
  <c r="AD13" i="9"/>
  <c r="AD21" i="9"/>
  <c r="AD17" i="9"/>
  <c r="AD9" i="9"/>
  <c r="AD7" i="9"/>
  <c r="AD5" i="9"/>
  <c r="AD11" i="9"/>
  <c r="CL21" i="8"/>
  <c r="BO21" i="8"/>
  <c r="BS21" i="8" s="1"/>
  <c r="CT21" i="8" s="1"/>
  <c r="CK21" i="8"/>
  <c r="BN21" i="8"/>
  <c r="BR21" i="8" s="1"/>
  <c r="CQ21" i="8" s="1"/>
  <c r="AQ52" i="8"/>
  <c r="AQ53" i="8"/>
  <c r="AQ54" i="8"/>
  <c r="AQ55" i="8"/>
  <c r="AQ56" i="8"/>
  <c r="AQ57" i="8"/>
  <c r="CM21" i="8" l="1"/>
  <c r="CO21" i="8" s="1"/>
  <c r="CS21" i="8"/>
  <c r="CU21" i="8" s="1"/>
  <c r="CP21" i="8"/>
  <c r="CR21" i="8" s="1"/>
  <c r="BY21" i="8"/>
  <c r="CD21" i="8"/>
  <c r="CC21" i="8"/>
  <c r="CA21" i="8"/>
  <c r="BZ21" i="8"/>
  <c r="AE57" i="9"/>
  <c r="AE55" i="9"/>
  <c r="AE53" i="9"/>
  <c r="AE51" i="9"/>
  <c r="AE83" i="9"/>
  <c r="AE81" i="9"/>
  <c r="AE87" i="9"/>
  <c r="AE89" i="9"/>
  <c r="AE75" i="9"/>
  <c r="AE77" i="9"/>
  <c r="AE85" i="9"/>
  <c r="AE79" i="9"/>
  <c r="AE71" i="9"/>
  <c r="AE63" i="9"/>
  <c r="AE61" i="9"/>
  <c r="AE69" i="9"/>
  <c r="AE65" i="9"/>
  <c r="AE67" i="9"/>
  <c r="AE25" i="9"/>
  <c r="AE59" i="9"/>
  <c r="AE47" i="9"/>
  <c r="AE43" i="9"/>
  <c r="AE49" i="9"/>
  <c r="AE41" i="9"/>
  <c r="AE45" i="9"/>
  <c r="AE73" i="9"/>
  <c r="AF3" i="9"/>
  <c r="AE23" i="9"/>
  <c r="AE21" i="9"/>
  <c r="AE19" i="9"/>
  <c r="AE17" i="9"/>
  <c r="AE7" i="9"/>
  <c r="AE15" i="9"/>
  <c r="AE5" i="9"/>
  <c r="AE9" i="9"/>
  <c r="AE11" i="9"/>
  <c r="AE13" i="9"/>
  <c r="BP21" i="8"/>
  <c r="BT21" i="8" s="1"/>
  <c r="CW21" i="8" s="1"/>
  <c r="CV21" i="8" l="1"/>
  <c r="CX21" i="8" s="1"/>
  <c r="CB21" i="8"/>
  <c r="CF21" i="8"/>
  <c r="CG21" i="8"/>
  <c r="CE21" i="8"/>
  <c r="AF55" i="9"/>
  <c r="AF53" i="9"/>
  <c r="AF57" i="9"/>
  <c r="AF51" i="9"/>
  <c r="AF75" i="9"/>
  <c r="AF81" i="9"/>
  <c r="AF83" i="9"/>
  <c r="AF79" i="9"/>
  <c r="AF89" i="9"/>
  <c r="AF87" i="9"/>
  <c r="AF85" i="9"/>
  <c r="AF77" i="9"/>
  <c r="AF69" i="9"/>
  <c r="AF61" i="9"/>
  <c r="AF67" i="9"/>
  <c r="AF65" i="9"/>
  <c r="AF63" i="9"/>
  <c r="AF71" i="9"/>
  <c r="AF45" i="9"/>
  <c r="AF43" i="9"/>
  <c r="AF73" i="9"/>
  <c r="AF47" i="9"/>
  <c r="AF59" i="9"/>
  <c r="AF49" i="9"/>
  <c r="AF25" i="9"/>
  <c r="AF41" i="9"/>
  <c r="AG3" i="9"/>
  <c r="AF23" i="9"/>
  <c r="AF21" i="9"/>
  <c r="AF19" i="9"/>
  <c r="AF17" i="9"/>
  <c r="AF15" i="9"/>
  <c r="AF5" i="9"/>
  <c r="AF11" i="9"/>
  <c r="AF7" i="9"/>
  <c r="AF9" i="9"/>
  <c r="AF13" i="9"/>
  <c r="BK21" i="8"/>
  <c r="BH89" i="8"/>
  <c r="BH88" i="8"/>
  <c r="BH87" i="8"/>
  <c r="BH86" i="8"/>
  <c r="BH85" i="8"/>
  <c r="BH84" i="8"/>
  <c r="BH83" i="8"/>
  <c r="BH82" i="8"/>
  <c r="BH81" i="8"/>
  <c r="BH80" i="8"/>
  <c r="BH79" i="8"/>
  <c r="BH78" i="8"/>
  <c r="BH77" i="8"/>
  <c r="BH76" i="8"/>
  <c r="BH75" i="8"/>
  <c r="BH74" i="8"/>
  <c r="BH73" i="8"/>
  <c r="BH72" i="8"/>
  <c r="BH69" i="8"/>
  <c r="BH68" i="8"/>
  <c r="BH67" i="8"/>
  <c r="BH66" i="8"/>
  <c r="BH65" i="8"/>
  <c r="BH64" i="8"/>
  <c r="BH63" i="8"/>
  <c r="BH62" i="8"/>
  <c r="BH61" i="8"/>
  <c r="BH60" i="8"/>
  <c r="BH59" i="8"/>
  <c r="BH58" i="8"/>
  <c r="BH57" i="8"/>
  <c r="BH56" i="8"/>
  <c r="BH55" i="8"/>
  <c r="BH54" i="8"/>
  <c r="BH53" i="8"/>
  <c r="BH52" i="8"/>
  <c r="BH45" i="8"/>
  <c r="BH44" i="8"/>
  <c r="BH43" i="8"/>
  <c r="BH42" i="8"/>
  <c r="BH41" i="8"/>
  <c r="BH40" i="8"/>
  <c r="BH39" i="8"/>
  <c r="BH38" i="8"/>
  <c r="BH37" i="8"/>
  <c r="BH36" i="8"/>
  <c r="BH35" i="8"/>
  <c r="BH34" i="8"/>
  <c r="BH33" i="8"/>
  <c r="BH32" i="8"/>
  <c r="BH31" i="8"/>
  <c r="BH30" i="8"/>
  <c r="BH29" i="8"/>
  <c r="BH28" i="8"/>
  <c r="BH27" i="8"/>
  <c r="BH26" i="8"/>
  <c r="BH25" i="8"/>
  <c r="BH20" i="8"/>
  <c r="BH19" i="8"/>
  <c r="BH12" i="8"/>
  <c r="BH10" i="8"/>
  <c r="BH9" i="8"/>
  <c r="AR66" i="8"/>
  <c r="BE66" i="8" s="1"/>
  <c r="AR65" i="8"/>
  <c r="BE65" i="8" s="1"/>
  <c r="CT12" i="8" l="1"/>
  <c r="CW12" i="8"/>
  <c r="CN12" i="8"/>
  <c r="CQ12" i="8"/>
  <c r="CT30" i="8"/>
  <c r="CW30" i="8"/>
  <c r="CN30" i="8"/>
  <c r="CQ30" i="8"/>
  <c r="CN27" i="8"/>
  <c r="CQ27" i="8"/>
  <c r="CT9" i="8"/>
  <c r="CW9" i="8"/>
  <c r="CN20" i="8"/>
  <c r="CT20" i="8"/>
  <c r="CQ20" i="8"/>
  <c r="CW20" i="8"/>
  <c r="CN40" i="8"/>
  <c r="CQ40" i="8"/>
  <c r="CN26" i="8"/>
  <c r="CT26" i="8"/>
  <c r="CQ26" i="8"/>
  <c r="CW26" i="8"/>
  <c r="CN19" i="8"/>
  <c r="CQ19" i="8"/>
  <c r="CN10" i="8"/>
  <c r="CQ10" i="8"/>
  <c r="CN25" i="8"/>
  <c r="CT25" i="8"/>
  <c r="CQ25" i="8"/>
  <c r="CW25" i="8"/>
  <c r="CN37" i="8"/>
  <c r="CQ37" i="8"/>
  <c r="CH21" i="8"/>
  <c r="AG53" i="9"/>
  <c r="AG57" i="9"/>
  <c r="AG51" i="9"/>
  <c r="AG55" i="9"/>
  <c r="AG75" i="9"/>
  <c r="AG83" i="9"/>
  <c r="AG79" i="9"/>
  <c r="AG89" i="9"/>
  <c r="AG85" i="9"/>
  <c r="AG87" i="9"/>
  <c r="AG81" i="9"/>
  <c r="AG77" i="9"/>
  <c r="AG67" i="9"/>
  <c r="AG65" i="9"/>
  <c r="AG63" i="9"/>
  <c r="AG61" i="9"/>
  <c r="AG71" i="9"/>
  <c r="AG69" i="9"/>
  <c r="AG25" i="9"/>
  <c r="AG59" i="9"/>
  <c r="AG73" i="9"/>
  <c r="AG47" i="9"/>
  <c r="AG43" i="9"/>
  <c r="AG49" i="9"/>
  <c r="AG41" i="9"/>
  <c r="AG45" i="9"/>
  <c r="AH3" i="9"/>
  <c r="AG21" i="9"/>
  <c r="AG23" i="9"/>
  <c r="AG17" i="9"/>
  <c r="AG15" i="9"/>
  <c r="AG11" i="9"/>
  <c r="AG13" i="9"/>
  <c r="AG9" i="9"/>
  <c r="AG5" i="9"/>
  <c r="AG19" i="9"/>
  <c r="AG7" i="9"/>
  <c r="BG25" i="8"/>
  <c r="AQ25" i="8"/>
  <c r="BD25" i="8" s="1"/>
  <c r="AP25" i="8"/>
  <c r="AH57" i="9" l="1"/>
  <c r="AH53" i="9"/>
  <c r="AH55" i="9"/>
  <c r="AH51" i="9"/>
  <c r="AH89" i="9"/>
  <c r="AH85" i="9"/>
  <c r="AH81" i="9"/>
  <c r="AH83" i="9"/>
  <c r="AH75" i="9"/>
  <c r="AH77" i="9"/>
  <c r="AH87" i="9"/>
  <c r="AH79" i="9"/>
  <c r="AH65" i="9"/>
  <c r="AH71" i="9"/>
  <c r="AH69" i="9"/>
  <c r="AH67" i="9"/>
  <c r="AH63" i="9"/>
  <c r="AH61" i="9"/>
  <c r="AH25" i="9"/>
  <c r="AH49" i="9"/>
  <c r="AH45" i="9"/>
  <c r="AH59" i="9"/>
  <c r="AH73" i="9"/>
  <c r="AH47" i="9"/>
  <c r="AH41" i="9"/>
  <c r="AH43" i="9"/>
  <c r="AI3" i="9"/>
  <c r="AH19" i="9"/>
  <c r="AH15" i="9"/>
  <c r="AH21" i="9"/>
  <c r="AH13" i="9"/>
  <c r="AH9" i="9"/>
  <c r="AH23" i="9"/>
  <c r="AH7" i="9"/>
  <c r="AH17" i="9"/>
  <c r="AH11" i="9"/>
  <c r="AH5" i="9"/>
  <c r="CL25" i="8"/>
  <c r="BC25" i="8"/>
  <c r="AR25" i="8"/>
  <c r="BE25" i="8" s="1"/>
  <c r="BM25" i="8"/>
  <c r="BO25" i="8"/>
  <c r="CJ25" i="8"/>
  <c r="BV25" i="8" l="1"/>
  <c r="CD25" i="8"/>
  <c r="BX25" i="8"/>
  <c r="AI57" i="9"/>
  <c r="AI55" i="9"/>
  <c r="AI53" i="9"/>
  <c r="AI51" i="9"/>
  <c r="AI85" i="9"/>
  <c r="AI89" i="9"/>
  <c r="AI87" i="9"/>
  <c r="AI83" i="9"/>
  <c r="AI79" i="9"/>
  <c r="AI81" i="9"/>
  <c r="AI75" i="9"/>
  <c r="AI77" i="9"/>
  <c r="AI71" i="9"/>
  <c r="AI63" i="9"/>
  <c r="AI67" i="9"/>
  <c r="AI61" i="9"/>
  <c r="AI69" i="9"/>
  <c r="AI65" i="9"/>
  <c r="AI25" i="9"/>
  <c r="AI59" i="9"/>
  <c r="AI49" i="9"/>
  <c r="AI45" i="9"/>
  <c r="AI41" i="9"/>
  <c r="AI73" i="9"/>
  <c r="AI47" i="9"/>
  <c r="AI43" i="9"/>
  <c r="AJ3" i="9"/>
  <c r="AI21" i="9"/>
  <c r="AI23" i="9"/>
  <c r="AI13" i="9"/>
  <c r="AI7" i="9"/>
  <c r="AI5" i="9"/>
  <c r="AI19" i="9"/>
  <c r="AI17" i="9"/>
  <c r="AI9" i="9"/>
  <c r="AI15" i="9"/>
  <c r="AI11" i="9"/>
  <c r="BN25" i="8"/>
  <c r="BJ25" i="8"/>
  <c r="CK25" i="8"/>
  <c r="BP25" i="8"/>
  <c r="CI25" i="8"/>
  <c r="CA25" i="8" l="1"/>
  <c r="CG25" i="8"/>
  <c r="BK25" i="8"/>
  <c r="BL25" i="8"/>
  <c r="AJ55" i="9"/>
  <c r="AJ53" i="9"/>
  <c r="AJ51" i="9"/>
  <c r="AJ57" i="9"/>
  <c r="AJ79" i="9"/>
  <c r="AJ89" i="9"/>
  <c r="AJ85" i="9"/>
  <c r="AJ87" i="9"/>
  <c r="AJ83" i="9"/>
  <c r="AJ75" i="9"/>
  <c r="AJ81" i="9"/>
  <c r="AJ77" i="9"/>
  <c r="AJ69" i="9"/>
  <c r="AJ61" i="9"/>
  <c r="AJ67" i="9"/>
  <c r="AJ71" i="9"/>
  <c r="AJ65" i="9"/>
  <c r="AJ63" i="9"/>
  <c r="AJ45" i="9"/>
  <c r="AJ73" i="9"/>
  <c r="AJ43" i="9"/>
  <c r="AJ41" i="9"/>
  <c r="AJ25" i="9"/>
  <c r="AJ59" i="9"/>
  <c r="AJ49" i="9"/>
  <c r="AJ47" i="9"/>
  <c r="AK3" i="9"/>
  <c r="AJ23" i="9"/>
  <c r="AJ21" i="9"/>
  <c r="AJ19" i="9"/>
  <c r="AJ17" i="9"/>
  <c r="AJ5" i="9"/>
  <c r="AJ11" i="9"/>
  <c r="AJ13" i="9"/>
  <c r="AJ7" i="9"/>
  <c r="AJ15" i="9"/>
  <c r="AJ9" i="9"/>
  <c r="CF25" i="8" l="1"/>
  <c r="CH25" i="8" s="1"/>
  <c r="CP25" i="8"/>
  <c r="CR25" i="8" s="1"/>
  <c r="CS25" i="8"/>
  <c r="CU25" i="8" s="1"/>
  <c r="CV25" i="8"/>
  <c r="CX25" i="8" s="1"/>
  <c r="CM25" i="8"/>
  <c r="CO25" i="8" s="1"/>
  <c r="CC25" i="8"/>
  <c r="CE25" i="8" s="1"/>
  <c r="BW25" i="8"/>
  <c r="BY25" i="8" s="1"/>
  <c r="BZ25" i="8"/>
  <c r="CB25" i="8" s="1"/>
  <c r="AK53" i="9"/>
  <c r="AK51" i="9"/>
  <c r="AK57" i="9"/>
  <c r="AK55" i="9"/>
  <c r="AK83" i="9"/>
  <c r="AK79" i="9"/>
  <c r="AK89" i="9"/>
  <c r="AK87" i="9"/>
  <c r="AK75" i="9"/>
  <c r="AK81" i="9"/>
  <c r="AK85" i="9"/>
  <c r="AK77" i="9"/>
  <c r="AK67" i="9"/>
  <c r="AK65" i="9"/>
  <c r="AK63" i="9"/>
  <c r="AK61" i="9"/>
  <c r="AK71" i="9"/>
  <c r="AK69" i="9"/>
  <c r="AK59" i="9"/>
  <c r="AK49" i="9"/>
  <c r="AK45" i="9"/>
  <c r="AK47" i="9"/>
  <c r="AK41" i="9"/>
  <c r="AK43" i="9"/>
  <c r="AK25" i="9"/>
  <c r="AK73" i="9"/>
  <c r="AK21" i="9"/>
  <c r="AK19" i="9"/>
  <c r="AK23" i="9"/>
  <c r="AK17" i="9"/>
  <c r="AK15" i="9"/>
  <c r="AK11" i="9"/>
  <c r="AK9" i="9"/>
  <c r="AK5" i="9"/>
  <c r="AK13" i="9"/>
  <c r="AK7" i="9"/>
  <c r="AL3" i="9"/>
  <c r="R37" i="8"/>
  <c r="AL57" i="9" l="1"/>
  <c r="AL55" i="9"/>
  <c r="AL53" i="9"/>
  <c r="AL51" i="9"/>
  <c r="AL75" i="9"/>
  <c r="AL81" i="9"/>
  <c r="AL83" i="9"/>
  <c r="AL87" i="9"/>
  <c r="AL77" i="9"/>
  <c r="AL79" i="9"/>
  <c r="AL89" i="9"/>
  <c r="AL85" i="9"/>
  <c r="AL65" i="9"/>
  <c r="AL63" i="9"/>
  <c r="AL61" i="9"/>
  <c r="AL71" i="9"/>
  <c r="AL69" i="9"/>
  <c r="AL67" i="9"/>
  <c r="AL25" i="9"/>
  <c r="AL59" i="9"/>
  <c r="AL41" i="9"/>
  <c r="AL49" i="9"/>
  <c r="AL47" i="9"/>
  <c r="AL43" i="9"/>
  <c r="AL45" i="9"/>
  <c r="AL73" i="9"/>
  <c r="AM3" i="9"/>
  <c r="AL19" i="9"/>
  <c r="AL23" i="9"/>
  <c r="AL21" i="9"/>
  <c r="AL17" i="9"/>
  <c r="AL15" i="9"/>
  <c r="AL13" i="9"/>
  <c r="AL9" i="9"/>
  <c r="AL7" i="9"/>
  <c r="AL5" i="9"/>
  <c r="AL11" i="9"/>
  <c r="AA37" i="8"/>
  <c r="AB37" i="8"/>
  <c r="AB39" i="8"/>
  <c r="AG37" i="8"/>
  <c r="Z38" i="8"/>
  <c r="AD40" i="8"/>
  <c r="AE40" i="8"/>
  <c r="AG40" i="8" s="1"/>
  <c r="AD38" i="8"/>
  <c r="AE38" i="8"/>
  <c r="AG38" i="8" s="1"/>
  <c r="AF39" i="8"/>
  <c r="AG39" i="8"/>
  <c r="BM78" i="8"/>
  <c r="BN78" i="8" s="1"/>
  <c r="BO78" i="8"/>
  <c r="BP78" i="8" s="1"/>
  <c r="BM79" i="8"/>
  <c r="BN79" i="8" s="1"/>
  <c r="BO79" i="8"/>
  <c r="BP79" i="8" s="1"/>
  <c r="BM80" i="8"/>
  <c r="BN80" i="8" s="1"/>
  <c r="BO80" i="8"/>
  <c r="BP80" i="8" s="1"/>
  <c r="BM81" i="8"/>
  <c r="BN81" i="8" s="1"/>
  <c r="BO81" i="8"/>
  <c r="BP81" i="8" s="1"/>
  <c r="BM82" i="8"/>
  <c r="BN82" i="8" s="1"/>
  <c r="BO82" i="8"/>
  <c r="BP82" i="8" s="1"/>
  <c r="BM83" i="8"/>
  <c r="BN83" i="8" s="1"/>
  <c r="BO83" i="8"/>
  <c r="BP83" i="8" s="1"/>
  <c r="BM84" i="8"/>
  <c r="BN84" i="8" s="1"/>
  <c r="BO84" i="8"/>
  <c r="BP84" i="8" s="1"/>
  <c r="BM85" i="8"/>
  <c r="BN85" i="8" s="1"/>
  <c r="BO85" i="8"/>
  <c r="BP85" i="8" s="1"/>
  <c r="BM86" i="8"/>
  <c r="BN86" i="8" s="1"/>
  <c r="BO86" i="8"/>
  <c r="BP86" i="8" s="1"/>
  <c r="BM87" i="8"/>
  <c r="BN87" i="8" s="1"/>
  <c r="BO87" i="8"/>
  <c r="BP87" i="8" s="1"/>
  <c r="BM88" i="8"/>
  <c r="BN88" i="8" s="1"/>
  <c r="BO88" i="8"/>
  <c r="BP88" i="8" s="1"/>
  <c r="BM89" i="8"/>
  <c r="BN89" i="8" s="1"/>
  <c r="BO89" i="8"/>
  <c r="BP89" i="8" s="1"/>
  <c r="BO41" i="8"/>
  <c r="BS41" i="8" s="1"/>
  <c r="CT41" i="8" s="1"/>
  <c r="BM62" i="8"/>
  <c r="BO62" i="8"/>
  <c r="BM65" i="8"/>
  <c r="BO65" i="8"/>
  <c r="BM66" i="8"/>
  <c r="BO66" i="8"/>
  <c r="AF38" i="8" l="1"/>
  <c r="AB38" i="8"/>
  <c r="CT40" i="8"/>
  <c r="AF40" i="8"/>
  <c r="BU40" i="8"/>
  <c r="AF37" i="8"/>
  <c r="BU37" i="8"/>
  <c r="AA38" i="8"/>
  <c r="AC38" i="8" s="1"/>
  <c r="BU38" i="8"/>
  <c r="AA39" i="8"/>
  <c r="AC39" i="8" s="1"/>
  <c r="CD41" i="8"/>
  <c r="AM57" i="9"/>
  <c r="AM55" i="9"/>
  <c r="AM53" i="9"/>
  <c r="AM51" i="9"/>
  <c r="AM87" i="9"/>
  <c r="AM79" i="9"/>
  <c r="AM75" i="9"/>
  <c r="AM83" i="9"/>
  <c r="AM81" i="9"/>
  <c r="AM77" i="9"/>
  <c r="AM89" i="9"/>
  <c r="AM85" i="9"/>
  <c r="AM71" i="9"/>
  <c r="AM63" i="9"/>
  <c r="AM69" i="9"/>
  <c r="AM67" i="9"/>
  <c r="AM65" i="9"/>
  <c r="AM61" i="9"/>
  <c r="AM41" i="9"/>
  <c r="AM49" i="9"/>
  <c r="AM73" i="9"/>
  <c r="AM45" i="9"/>
  <c r="AM47" i="9"/>
  <c r="AM59" i="9"/>
  <c r="AM25" i="9"/>
  <c r="AM43" i="9"/>
  <c r="AN3" i="9"/>
  <c r="AM23" i="9"/>
  <c r="AM19" i="9"/>
  <c r="AM7" i="9"/>
  <c r="AM17" i="9"/>
  <c r="AM15" i="9"/>
  <c r="AM13" i="9"/>
  <c r="AM5" i="9"/>
  <c r="AM21" i="9"/>
  <c r="AM9" i="9"/>
  <c r="AM11" i="9"/>
  <c r="AC37" i="8"/>
  <c r="BN66" i="8"/>
  <c r="BN62" i="8"/>
  <c r="BP65" i="8"/>
  <c r="BP41" i="8"/>
  <c r="BT41" i="8" s="1"/>
  <c r="CW41" i="8" s="1"/>
  <c r="BP66" i="8"/>
  <c r="BP62" i="8"/>
  <c r="BN65" i="8"/>
  <c r="AO63" i="8"/>
  <c r="AO64" i="8"/>
  <c r="CN38" i="8" l="1"/>
  <c r="CT38" i="8"/>
  <c r="CW40" i="8"/>
  <c r="CG41" i="8"/>
  <c r="AN55" i="9"/>
  <c r="AN53" i="9"/>
  <c r="AN57" i="9"/>
  <c r="AN51" i="9"/>
  <c r="AN83" i="9"/>
  <c r="AN79" i="9"/>
  <c r="AN75" i="9"/>
  <c r="AN89" i="9"/>
  <c r="AN77" i="9"/>
  <c r="AN85" i="9"/>
  <c r="AN87" i="9"/>
  <c r="AN81" i="9"/>
  <c r="AN69" i="9"/>
  <c r="AN61" i="9"/>
  <c r="AN71" i="9"/>
  <c r="AN65" i="9"/>
  <c r="AN67" i="9"/>
  <c r="AN63" i="9"/>
  <c r="AN25" i="9"/>
  <c r="AN59" i="9"/>
  <c r="AN49" i="9"/>
  <c r="AN45" i="9"/>
  <c r="AN73" i="9"/>
  <c r="AN47" i="9"/>
  <c r="AN43" i="9"/>
  <c r="AN41" i="9"/>
  <c r="AO3" i="9"/>
  <c r="AN23" i="9"/>
  <c r="AN17" i="9"/>
  <c r="AN19" i="9"/>
  <c r="AN15" i="9"/>
  <c r="AN13" i="9"/>
  <c r="AN5" i="9"/>
  <c r="AN11" i="9"/>
  <c r="AN21" i="9"/>
  <c r="AN7" i="9"/>
  <c r="AN9" i="9"/>
  <c r="BG12" i="8"/>
  <c r="BF12" i="8"/>
  <c r="BG11" i="8"/>
  <c r="BF11" i="8"/>
  <c r="AQ11" i="8"/>
  <c r="BD11" i="8" s="1"/>
  <c r="AQ12" i="8"/>
  <c r="BD12" i="8" s="1"/>
  <c r="CW38" i="8" l="1"/>
  <c r="CQ38" i="8"/>
  <c r="AO53" i="9"/>
  <c r="AO57" i="9"/>
  <c r="AO51" i="9"/>
  <c r="AO55" i="9"/>
  <c r="AO83" i="9"/>
  <c r="AO85" i="9"/>
  <c r="AO87" i="9"/>
  <c r="AO79" i="9"/>
  <c r="AO75" i="9"/>
  <c r="AO89" i="9"/>
  <c r="AO81" i="9"/>
  <c r="AO77" i="9"/>
  <c r="AO67" i="9"/>
  <c r="AO69" i="9"/>
  <c r="AO63" i="9"/>
  <c r="AO71" i="9"/>
  <c r="AO65" i="9"/>
  <c r="AO61" i="9"/>
  <c r="AO49" i="9"/>
  <c r="AO59" i="9"/>
  <c r="AO45" i="9"/>
  <c r="AO41" i="9"/>
  <c r="AO47" i="9"/>
  <c r="AO43" i="9"/>
  <c r="AO25" i="9"/>
  <c r="AO73" i="9"/>
  <c r="AP3" i="9"/>
  <c r="AO21" i="9"/>
  <c r="AO19" i="9"/>
  <c r="AO23" i="9"/>
  <c r="AO15" i="9"/>
  <c r="AO17" i="9"/>
  <c r="AO11" i="9"/>
  <c r="AO9" i="9"/>
  <c r="AO5" i="9"/>
  <c r="AO7" i="9"/>
  <c r="AO13" i="9"/>
  <c r="AP11" i="8"/>
  <c r="AR11" i="8" s="1"/>
  <c r="BE11" i="8" s="1"/>
  <c r="BM11" i="8"/>
  <c r="BO12" i="8"/>
  <c r="BO11" i="8"/>
  <c r="BM12" i="8"/>
  <c r="AP12" i="8"/>
  <c r="CL11" i="8"/>
  <c r="CL12" i="8"/>
  <c r="CJ11" i="8"/>
  <c r="CJ12" i="8"/>
  <c r="AP89" i="8"/>
  <c r="AQ88" i="8"/>
  <c r="AQ87" i="8"/>
  <c r="AP85" i="8"/>
  <c r="AQ84" i="8"/>
  <c r="AQ83" i="8"/>
  <c r="AQ82" i="8"/>
  <c r="AP81" i="8"/>
  <c r="AQ80" i="8"/>
  <c r="AP68" i="8"/>
  <c r="AP64" i="8"/>
  <c r="AP61" i="8"/>
  <c r="AP59" i="8"/>
  <c r="AP57" i="8"/>
  <c r="AR57" i="8" s="1"/>
  <c r="BE57" i="8" s="1"/>
  <c r="BU57" i="8" s="1"/>
  <c r="AP55" i="8"/>
  <c r="AR55" i="8" s="1"/>
  <c r="BE55" i="8" s="1"/>
  <c r="BU55" i="8" s="1"/>
  <c r="AP53" i="8"/>
  <c r="AR53" i="8" s="1"/>
  <c r="BE53" i="8" s="1"/>
  <c r="BU53" i="8" s="1"/>
  <c r="AO47" i="8"/>
  <c r="AO46" i="8"/>
  <c r="AP45" i="8"/>
  <c r="AQ43" i="8"/>
  <c r="AO40" i="8"/>
  <c r="AP40" i="8" s="1"/>
  <c r="AP37" i="8"/>
  <c r="AP35" i="8"/>
  <c r="AQ33" i="8"/>
  <c r="AQ32" i="8"/>
  <c r="AP31" i="8"/>
  <c r="AQ29" i="8"/>
  <c r="AQ27" i="8"/>
  <c r="AQ20" i="8"/>
  <c r="AO10" i="8"/>
  <c r="AP10" i="8" s="1"/>
  <c r="AQ9" i="8"/>
  <c r="AP88" i="8"/>
  <c r="AP87" i="8"/>
  <c r="AQ86" i="8"/>
  <c r="AP86" i="8"/>
  <c r="AP84" i="8"/>
  <c r="AP83" i="8"/>
  <c r="AP82" i="8"/>
  <c r="AP80" i="8"/>
  <c r="AQ69" i="8"/>
  <c r="AP69" i="8"/>
  <c r="AQ67" i="8"/>
  <c r="AP67" i="8"/>
  <c r="AQ64" i="8"/>
  <c r="AQ63" i="8"/>
  <c r="AP63" i="8"/>
  <c r="AQ61" i="8"/>
  <c r="AQ60" i="8"/>
  <c r="AP60" i="8"/>
  <c r="AQ59" i="8"/>
  <c r="AQ58" i="8"/>
  <c r="AP58" i="8"/>
  <c r="AP56" i="8"/>
  <c r="AR56" i="8" s="1"/>
  <c r="BE56" i="8" s="1"/>
  <c r="BU56" i="8" s="1"/>
  <c r="AP54" i="8"/>
  <c r="AR54" i="8" s="1"/>
  <c r="BE54" i="8" s="1"/>
  <c r="BU54" i="8" s="1"/>
  <c r="AP52" i="8"/>
  <c r="AR52" i="8" s="1"/>
  <c r="BE52" i="8" s="1"/>
  <c r="BU52" i="8" s="1"/>
  <c r="AQ44" i="8"/>
  <c r="AP44" i="8"/>
  <c r="AP43" i="8"/>
  <c r="AQ42" i="8"/>
  <c r="AP42" i="8"/>
  <c r="AQ38" i="8"/>
  <c r="AP38" i="8"/>
  <c r="AQ37" i="8"/>
  <c r="AQ36" i="8"/>
  <c r="AP36" i="8"/>
  <c r="AQ35" i="8"/>
  <c r="AQ34" i="8"/>
  <c r="AP34" i="8"/>
  <c r="AP33" i="8"/>
  <c r="AP32" i="8"/>
  <c r="AQ30" i="8"/>
  <c r="AP30" i="8"/>
  <c r="AP29" i="8"/>
  <c r="AQ28" i="8"/>
  <c r="AP28" i="8"/>
  <c r="AQ26" i="8"/>
  <c r="AP26" i="8"/>
  <c r="BV11" i="8" l="1"/>
  <c r="BX12" i="8"/>
  <c r="CD12" i="8"/>
  <c r="BX11" i="8"/>
  <c r="CD11" i="8"/>
  <c r="AP57" i="9"/>
  <c r="AP55" i="9"/>
  <c r="AP53" i="9"/>
  <c r="AP51" i="9"/>
  <c r="AP87" i="9"/>
  <c r="AP83" i="9"/>
  <c r="AP79" i="9"/>
  <c r="AP89" i="9"/>
  <c r="AP75" i="9"/>
  <c r="AP77" i="9"/>
  <c r="AP85" i="9"/>
  <c r="AP81" i="9"/>
  <c r="AP65" i="9"/>
  <c r="AP63" i="9"/>
  <c r="AP61" i="9"/>
  <c r="AP69" i="9"/>
  <c r="AP71" i="9"/>
  <c r="AP67" i="9"/>
  <c r="AP25" i="9"/>
  <c r="AP59" i="9"/>
  <c r="AP45" i="9"/>
  <c r="AP49" i="9"/>
  <c r="AP73" i="9"/>
  <c r="AP47" i="9"/>
  <c r="AP43" i="9"/>
  <c r="AP41" i="9"/>
  <c r="AQ3" i="9"/>
  <c r="AP19" i="9"/>
  <c r="AP23" i="9"/>
  <c r="AP21" i="9"/>
  <c r="AP15" i="9"/>
  <c r="AP17" i="9"/>
  <c r="AP13" i="9"/>
  <c r="AP9" i="9"/>
  <c r="AP7" i="9"/>
  <c r="AP11" i="9"/>
  <c r="AP5" i="9"/>
  <c r="AR46" i="8"/>
  <c r="BE46" i="8" s="1"/>
  <c r="AR47" i="8"/>
  <c r="BE47" i="8" s="1"/>
  <c r="BN11" i="8"/>
  <c r="BN12" i="8"/>
  <c r="AR82" i="8"/>
  <c r="BE82" i="8" s="1"/>
  <c r="BU82" i="8" s="1"/>
  <c r="AR83" i="8"/>
  <c r="BE83" i="8" s="1"/>
  <c r="BU83" i="8" s="1"/>
  <c r="BE23" i="8"/>
  <c r="AR32" i="8"/>
  <c r="BE32" i="8" s="1"/>
  <c r="BP11" i="8"/>
  <c r="BP12" i="8"/>
  <c r="AR67" i="8"/>
  <c r="BE67" i="8" s="1"/>
  <c r="BU67" i="8" s="1"/>
  <c r="AR88" i="8"/>
  <c r="BE88" i="8" s="1"/>
  <c r="BU88" i="8" s="1"/>
  <c r="AR87" i="8"/>
  <c r="BE87" i="8" s="1"/>
  <c r="BU87" i="8" s="1"/>
  <c r="AR38" i="8"/>
  <c r="BE38" i="8" s="1"/>
  <c r="AR28" i="8"/>
  <c r="BE28" i="8" s="1"/>
  <c r="AR58" i="8"/>
  <c r="BE58" i="8" s="1"/>
  <c r="BU58" i="8" s="1"/>
  <c r="AR35" i="8"/>
  <c r="BE35" i="8" s="1"/>
  <c r="AR43" i="8"/>
  <c r="BE43" i="8" s="1"/>
  <c r="AR84" i="8"/>
  <c r="BE84" i="8" s="1"/>
  <c r="BU84" i="8" s="1"/>
  <c r="AR33" i="8"/>
  <c r="BE33" i="8" s="1"/>
  <c r="AR80" i="8"/>
  <c r="BE80" i="8" s="1"/>
  <c r="BU80" i="8" s="1"/>
  <c r="AR19" i="8"/>
  <c r="BE19" i="8" s="1"/>
  <c r="AR64" i="8"/>
  <c r="BE64" i="8" s="1"/>
  <c r="BU64" i="8" s="1"/>
  <c r="AR30" i="8"/>
  <c r="BE30" i="8" s="1"/>
  <c r="AR34" i="8"/>
  <c r="BE34" i="8" s="1"/>
  <c r="AR42" i="8"/>
  <c r="BE42" i="8" s="1"/>
  <c r="AR60" i="8"/>
  <c r="BE60" i="8" s="1"/>
  <c r="BU60" i="8" s="1"/>
  <c r="AR69" i="8"/>
  <c r="BE69" i="8" s="1"/>
  <c r="BU69" i="8" s="1"/>
  <c r="AR61" i="8"/>
  <c r="BE61" i="8" s="1"/>
  <c r="BU61" i="8" s="1"/>
  <c r="BC10" i="8"/>
  <c r="AR37" i="8"/>
  <c r="BE37" i="8" s="1"/>
  <c r="AR26" i="8"/>
  <c r="BE26" i="8" s="1"/>
  <c r="AR29" i="8"/>
  <c r="BE29" i="8" s="1"/>
  <c r="AR36" i="8"/>
  <c r="BE36" i="8" s="1"/>
  <c r="AR44" i="8"/>
  <c r="BE44" i="8" s="1"/>
  <c r="AR63" i="8"/>
  <c r="BE63" i="8" s="1"/>
  <c r="BU63" i="8" s="1"/>
  <c r="AR86" i="8"/>
  <c r="BE86" i="8" s="1"/>
  <c r="BU86" i="8" s="1"/>
  <c r="AR59" i="8"/>
  <c r="BE59" i="8" s="1"/>
  <c r="BU59" i="8" s="1"/>
  <c r="BC12" i="8"/>
  <c r="AR12" i="8"/>
  <c r="BE12" i="8" s="1"/>
  <c r="BC11" i="8"/>
  <c r="AP20" i="8"/>
  <c r="AR20" i="8" s="1"/>
  <c r="BE20" i="8" s="1"/>
  <c r="AQ10" i="8"/>
  <c r="BD10" i="8" s="1"/>
  <c r="AP9" i="8"/>
  <c r="AR9" i="8" s="1"/>
  <c r="BE9" i="8" s="1"/>
  <c r="AQ81" i="8"/>
  <c r="AR81" i="8" s="1"/>
  <c r="BE81" i="8" s="1"/>
  <c r="BU81" i="8" s="1"/>
  <c r="AQ89" i="8"/>
  <c r="AR89" i="8" s="1"/>
  <c r="BE89" i="8" s="1"/>
  <c r="BU89" i="8" s="1"/>
  <c r="AP27" i="8"/>
  <c r="AR27" i="8" s="1"/>
  <c r="BE27" i="8" s="1"/>
  <c r="AQ31" i="8"/>
  <c r="AR31" i="8" s="1"/>
  <c r="BE31" i="8" s="1"/>
  <c r="AQ45" i="8"/>
  <c r="AR45" i="8" s="1"/>
  <c r="BE45" i="8" s="1"/>
  <c r="AQ40" i="8"/>
  <c r="AR40" i="8" s="1"/>
  <c r="BE40" i="8" s="1"/>
  <c r="AQ68" i="8"/>
  <c r="AR68" i="8" s="1"/>
  <c r="BE68" i="8" s="1"/>
  <c r="BU68" i="8" s="1"/>
  <c r="AQ85" i="8"/>
  <c r="AR85" i="8" s="1"/>
  <c r="BE85" i="8" s="1"/>
  <c r="BU85" i="8" s="1"/>
  <c r="BG80" i="8"/>
  <c r="BF80" i="8"/>
  <c r="BD80" i="8"/>
  <c r="BC80" i="8"/>
  <c r="BV20" i="8" l="1"/>
  <c r="BV27" i="8"/>
  <c r="BV19" i="8"/>
  <c r="BV9" i="8"/>
  <c r="BV12" i="8"/>
  <c r="BV26" i="8"/>
  <c r="BV30" i="8"/>
  <c r="BV23" i="8"/>
  <c r="CA11" i="8"/>
  <c r="CG11" i="8"/>
  <c r="CG12" i="8"/>
  <c r="CA12" i="8"/>
  <c r="BJ23" i="8"/>
  <c r="BL23" i="8" s="1"/>
  <c r="BZ23" i="8" s="1"/>
  <c r="CB23" i="8" s="1"/>
  <c r="AQ57" i="9"/>
  <c r="AQ55" i="9"/>
  <c r="AQ53" i="9"/>
  <c r="AQ51" i="9"/>
  <c r="AQ79" i="9"/>
  <c r="AQ75" i="9"/>
  <c r="AQ83" i="9"/>
  <c r="AQ89" i="9"/>
  <c r="AQ81" i="9"/>
  <c r="AQ87" i="9"/>
  <c r="AQ85" i="9"/>
  <c r="AQ77" i="9"/>
  <c r="AQ71" i="9"/>
  <c r="AQ63" i="9"/>
  <c r="AQ61" i="9"/>
  <c r="AQ69" i="9"/>
  <c r="AQ67" i="9"/>
  <c r="AQ65" i="9"/>
  <c r="AQ25" i="9"/>
  <c r="AQ45" i="9"/>
  <c r="AQ73" i="9"/>
  <c r="AQ47" i="9"/>
  <c r="AQ59" i="9"/>
  <c r="AQ49" i="9"/>
  <c r="AQ43" i="9"/>
  <c r="AQ41" i="9"/>
  <c r="AR3" i="9"/>
  <c r="AQ23" i="9"/>
  <c r="AQ21" i="9"/>
  <c r="AQ19" i="9"/>
  <c r="AQ17" i="9"/>
  <c r="AQ7" i="9"/>
  <c r="AQ5" i="9"/>
  <c r="AQ15" i="9"/>
  <c r="AQ9" i="9"/>
  <c r="AQ13" i="9"/>
  <c r="AQ11" i="9"/>
  <c r="CI12" i="8"/>
  <c r="CK12" i="8"/>
  <c r="AR10" i="8"/>
  <c r="BE10" i="8" s="1"/>
  <c r="CI11" i="8"/>
  <c r="CK11" i="8"/>
  <c r="CV23" i="8" l="1"/>
  <c r="CX23" i="8" s="1"/>
  <c r="CP23" i="8"/>
  <c r="CR23" i="8" s="1"/>
  <c r="CM23" i="8"/>
  <c r="CO23" i="8" s="1"/>
  <c r="BV10" i="8"/>
  <c r="CS23" i="8"/>
  <c r="CU23" i="8" s="1"/>
  <c r="CF23" i="8"/>
  <c r="CH23" i="8" s="1"/>
  <c r="CC23" i="8"/>
  <c r="CE23" i="8" s="1"/>
  <c r="BW23" i="8"/>
  <c r="BY23" i="8" s="1"/>
  <c r="AR55" i="9"/>
  <c r="AR53" i="9"/>
  <c r="AR51" i="9"/>
  <c r="AR57" i="9"/>
  <c r="AR87" i="9"/>
  <c r="AR83" i="9"/>
  <c r="AR75" i="9"/>
  <c r="AR85" i="9"/>
  <c r="AR81" i="9"/>
  <c r="AR79" i="9"/>
  <c r="AR89" i="9"/>
  <c r="AR77" i="9"/>
  <c r="AR69" i="9"/>
  <c r="AR61" i="9"/>
  <c r="AR67" i="9"/>
  <c r="AR65" i="9"/>
  <c r="AR63" i="9"/>
  <c r="AR71" i="9"/>
  <c r="AR25" i="9"/>
  <c r="AR59" i="9"/>
  <c r="AR49" i="9"/>
  <c r="AR73" i="9"/>
  <c r="AR47" i="9"/>
  <c r="AR43" i="9"/>
  <c r="AR45" i="9"/>
  <c r="AR41" i="9"/>
  <c r="AS3" i="9"/>
  <c r="AR23" i="9"/>
  <c r="AR17" i="9"/>
  <c r="AR21" i="9"/>
  <c r="AR5" i="9"/>
  <c r="AR19" i="9"/>
  <c r="AR13" i="9"/>
  <c r="AR11" i="9"/>
  <c r="AR7" i="9"/>
  <c r="AR9" i="9"/>
  <c r="AR15" i="9"/>
  <c r="BJ12" i="8"/>
  <c r="BL12" i="8" s="1"/>
  <c r="BJ11" i="8"/>
  <c r="BL11" i="8" s="1"/>
  <c r="CP12" i="8" l="1"/>
  <c r="CR12" i="8" s="1"/>
  <c r="CS12" i="8"/>
  <c r="CU12" i="8" s="1"/>
  <c r="CV12" i="8"/>
  <c r="CX12" i="8" s="1"/>
  <c r="CM12" i="8"/>
  <c r="CO12" i="8" s="1"/>
  <c r="CM11" i="8"/>
  <c r="CO11" i="8" s="1"/>
  <c r="CP11" i="8"/>
  <c r="CR11" i="8" s="1"/>
  <c r="CV11" i="8"/>
  <c r="CX11" i="8" s="1"/>
  <c r="CS11" i="8"/>
  <c r="CU11" i="8" s="1"/>
  <c r="CC11" i="8"/>
  <c r="CE11" i="8" s="1"/>
  <c r="BW11" i="8"/>
  <c r="BY11" i="8" s="1"/>
  <c r="BZ11" i="8"/>
  <c r="CB11" i="8" s="1"/>
  <c r="CF11" i="8"/>
  <c r="CH11" i="8" s="1"/>
  <c r="CC12" i="8"/>
  <c r="CE12" i="8" s="1"/>
  <c r="BW12" i="8"/>
  <c r="BY12" i="8" s="1"/>
  <c r="BZ12" i="8"/>
  <c r="CB12" i="8" s="1"/>
  <c r="CF12" i="8"/>
  <c r="CH12" i="8" s="1"/>
  <c r="AS53" i="9"/>
  <c r="AS51" i="9"/>
  <c r="AS55" i="9"/>
  <c r="AS57" i="9"/>
  <c r="AS87" i="9"/>
  <c r="AS83" i="9"/>
  <c r="AS89" i="9"/>
  <c r="AS75" i="9"/>
  <c r="AS79" i="9"/>
  <c r="AS85" i="9"/>
  <c r="AS77" i="9"/>
  <c r="AS81" i="9"/>
  <c r="AS67" i="9"/>
  <c r="AS71" i="9"/>
  <c r="AS69" i="9"/>
  <c r="AS63" i="9"/>
  <c r="AS65" i="9"/>
  <c r="AS61" i="9"/>
  <c r="AS25" i="9"/>
  <c r="AS73" i="9"/>
  <c r="AS49" i="9"/>
  <c r="AS43" i="9"/>
  <c r="AS59" i="9"/>
  <c r="AS45" i="9"/>
  <c r="AS47" i="9"/>
  <c r="AS41" i="9"/>
  <c r="AT3" i="9"/>
  <c r="AS21" i="9"/>
  <c r="AS15" i="9"/>
  <c r="AS19" i="9"/>
  <c r="AS13" i="9"/>
  <c r="AS11" i="9"/>
  <c r="AS9" i="9"/>
  <c r="AS7" i="9"/>
  <c r="AS5" i="9"/>
  <c r="AS23" i="9"/>
  <c r="AS17" i="9"/>
  <c r="BK11" i="8"/>
  <c r="BK12" i="8"/>
  <c r="AT57" i="9" l="1"/>
  <c r="AT55" i="9"/>
  <c r="AT53" i="9"/>
  <c r="AT51" i="9"/>
  <c r="AT87" i="9"/>
  <c r="AT79" i="9"/>
  <c r="AT89" i="9"/>
  <c r="AT85" i="9"/>
  <c r="AT75" i="9"/>
  <c r="AT81" i="9"/>
  <c r="AT77" i="9"/>
  <c r="AT83" i="9"/>
  <c r="AT65" i="9"/>
  <c r="AT71" i="9"/>
  <c r="AT67" i="9"/>
  <c r="AT61" i="9"/>
  <c r="AT69" i="9"/>
  <c r="AT63" i="9"/>
  <c r="AT59" i="9"/>
  <c r="AT49" i="9"/>
  <c r="AT25" i="9"/>
  <c r="AT73" i="9"/>
  <c r="AT47" i="9"/>
  <c r="AT43" i="9"/>
  <c r="AT41" i="9"/>
  <c r="AT45" i="9"/>
  <c r="AT19" i="9"/>
  <c r="AT21" i="9"/>
  <c r="AT15" i="9"/>
  <c r="AT13" i="9"/>
  <c r="AT9" i="9"/>
  <c r="AT7" i="9"/>
  <c r="AT17" i="9"/>
  <c r="AT5" i="9"/>
  <c r="AT23" i="9"/>
  <c r="AT11" i="9"/>
  <c r="AU3" i="9"/>
  <c r="P77" i="8"/>
  <c r="P76" i="8"/>
  <c r="P75" i="8"/>
  <c r="P74" i="8"/>
  <c r="P73" i="8"/>
  <c r="P72" i="8"/>
  <c r="AU57" i="9" l="1"/>
  <c r="AU55" i="9"/>
  <c r="AU53" i="9"/>
  <c r="AU51" i="9"/>
  <c r="AU83" i="9"/>
  <c r="AU75" i="9"/>
  <c r="AU89" i="9"/>
  <c r="AU81" i="9"/>
  <c r="AU87" i="9"/>
  <c r="AU79" i="9"/>
  <c r="AU77" i="9"/>
  <c r="AU85" i="9"/>
  <c r="AU71" i="9"/>
  <c r="AU63" i="9"/>
  <c r="AU61" i="9"/>
  <c r="AU67" i="9"/>
  <c r="AU69" i="9"/>
  <c r="AU65" i="9"/>
  <c r="AU25" i="9"/>
  <c r="AU59" i="9"/>
  <c r="AU49" i="9"/>
  <c r="AU47" i="9"/>
  <c r="AU45" i="9"/>
  <c r="AU43" i="9"/>
  <c r="AU41" i="9"/>
  <c r="AU73" i="9"/>
  <c r="AV3" i="9"/>
  <c r="AU23" i="9"/>
  <c r="AU21" i="9"/>
  <c r="AU19" i="9"/>
  <c r="AU13" i="9"/>
  <c r="AU17" i="9"/>
  <c r="AU11" i="9"/>
  <c r="AU7" i="9"/>
  <c r="AU15" i="9"/>
  <c r="AU5" i="9"/>
  <c r="AU9" i="9"/>
  <c r="BO37" i="8"/>
  <c r="BO40" i="8"/>
  <c r="BM19" i="8"/>
  <c r="BO38" i="8"/>
  <c r="BM38" i="8"/>
  <c r="BM37" i="8"/>
  <c r="BM40" i="8"/>
  <c r="BF64" i="8"/>
  <c r="BG64" i="8"/>
  <c r="BX37" i="8" l="1"/>
  <c r="BX38" i="8"/>
  <c r="CD37" i="8"/>
  <c r="CC37" i="8"/>
  <c r="BX40" i="8"/>
  <c r="BX19" i="8"/>
  <c r="CD40" i="8"/>
  <c r="CD38" i="8"/>
  <c r="AV55" i="9"/>
  <c r="AV53" i="9"/>
  <c r="AV57" i="9"/>
  <c r="AV51" i="9"/>
  <c r="AV75" i="9"/>
  <c r="AV79" i="9"/>
  <c r="AV89" i="9"/>
  <c r="AV87" i="9"/>
  <c r="AV85" i="9"/>
  <c r="AV81" i="9"/>
  <c r="AV77" i="9"/>
  <c r="AV83" i="9"/>
  <c r="AV69" i="9"/>
  <c r="AV61" i="9"/>
  <c r="AV67" i="9"/>
  <c r="AV65" i="9"/>
  <c r="AV63" i="9"/>
  <c r="AV71" i="9"/>
  <c r="AV49" i="9"/>
  <c r="AV45" i="9"/>
  <c r="AV59" i="9"/>
  <c r="AV25" i="9"/>
  <c r="AV43" i="9"/>
  <c r="AV73" i="9"/>
  <c r="AV41" i="9"/>
  <c r="AV47" i="9"/>
  <c r="AW3" i="9"/>
  <c r="AV23" i="9"/>
  <c r="AV21" i="9"/>
  <c r="AV19" i="9"/>
  <c r="AV17" i="9"/>
  <c r="AV15" i="9"/>
  <c r="AV5" i="9"/>
  <c r="AV13" i="9"/>
  <c r="AV7" i="9"/>
  <c r="AV9" i="9"/>
  <c r="AV11" i="9"/>
  <c r="BN19" i="8"/>
  <c r="BN37" i="8"/>
  <c r="BN38" i="8"/>
  <c r="BN40" i="8"/>
  <c r="BP40" i="8"/>
  <c r="BP38" i="8"/>
  <c r="BP37" i="8"/>
  <c r="BG41" i="8"/>
  <c r="BF41" i="8"/>
  <c r="AQ41" i="8"/>
  <c r="BD41" i="8" s="1"/>
  <c r="CJ41" i="8" s="1"/>
  <c r="AP41" i="8"/>
  <c r="CL41" i="8" l="1"/>
  <c r="CF37" i="8"/>
  <c r="CG37" i="8"/>
  <c r="CA38" i="8"/>
  <c r="CE37" i="8"/>
  <c r="CG40" i="8"/>
  <c r="CA19" i="8"/>
  <c r="CA40" i="8"/>
  <c r="CG38" i="8"/>
  <c r="CA37" i="8"/>
  <c r="AW53" i="9"/>
  <c r="AW57" i="9"/>
  <c r="AW51" i="9"/>
  <c r="AW55" i="9"/>
  <c r="AW79" i="9"/>
  <c r="AW75" i="9"/>
  <c r="AW85" i="9"/>
  <c r="AW81" i="9"/>
  <c r="AW87" i="9"/>
  <c r="AW77" i="9"/>
  <c r="AW89" i="9"/>
  <c r="AW83" i="9"/>
  <c r="AW67" i="9"/>
  <c r="AW65" i="9"/>
  <c r="AW63" i="9"/>
  <c r="AW61" i="9"/>
  <c r="AW71" i="9"/>
  <c r="AW69" i="9"/>
  <c r="AW25" i="9"/>
  <c r="AW59" i="9"/>
  <c r="AW45" i="9"/>
  <c r="AW49" i="9"/>
  <c r="AW47" i="9"/>
  <c r="AW43" i="9"/>
  <c r="AW41" i="9"/>
  <c r="AW73" i="9"/>
  <c r="AX3" i="9"/>
  <c r="AW21" i="9"/>
  <c r="AW23" i="9"/>
  <c r="AW17" i="9"/>
  <c r="AW19" i="9"/>
  <c r="AW15" i="9"/>
  <c r="AW11" i="9"/>
  <c r="AW9" i="9"/>
  <c r="AW5" i="9"/>
  <c r="AW7" i="9"/>
  <c r="AW13" i="9"/>
  <c r="BC41" i="8"/>
  <c r="AR41" i="8"/>
  <c r="BE41" i="8" s="1"/>
  <c r="CK41" i="8" l="1"/>
  <c r="CI41" i="8"/>
  <c r="CS41" i="8"/>
  <c r="CU41" i="8" s="1"/>
  <c r="CV41" i="8"/>
  <c r="CX41" i="8" s="1"/>
  <c r="CC41" i="8"/>
  <c r="CE41" i="8" s="1"/>
  <c r="CF41" i="8"/>
  <c r="CH41" i="8" s="1"/>
  <c r="CH37" i="8"/>
  <c r="AX57" i="9"/>
  <c r="AX53" i="9"/>
  <c r="AX55" i="9"/>
  <c r="AX51" i="9"/>
  <c r="AX75" i="9"/>
  <c r="AX85" i="9"/>
  <c r="AX81" i="9"/>
  <c r="AX79" i="9"/>
  <c r="AX89" i="9"/>
  <c r="AX77" i="9"/>
  <c r="AX83" i="9"/>
  <c r="AX87" i="9"/>
  <c r="AX65" i="9"/>
  <c r="AX71" i="9"/>
  <c r="AX69" i="9"/>
  <c r="AX67" i="9"/>
  <c r="AX61" i="9"/>
  <c r="AX63" i="9"/>
  <c r="AX49" i="9"/>
  <c r="AX73" i="9"/>
  <c r="AX25" i="9"/>
  <c r="AX41" i="9"/>
  <c r="AX45" i="9"/>
  <c r="AX47" i="9"/>
  <c r="AX43" i="9"/>
  <c r="AX59" i="9"/>
  <c r="AY3" i="9"/>
  <c r="AX19" i="9"/>
  <c r="AX15" i="9"/>
  <c r="AX23" i="9"/>
  <c r="AX13" i="9"/>
  <c r="AX11" i="9"/>
  <c r="AX9" i="9"/>
  <c r="AX21" i="9"/>
  <c r="AX17" i="9"/>
  <c r="AX7" i="9"/>
  <c r="AX5" i="9"/>
  <c r="BG62" i="8"/>
  <c r="BF62" i="8"/>
  <c r="CL62" i="8"/>
  <c r="CK62" i="8"/>
  <c r="CJ62" i="8"/>
  <c r="CI62" i="8"/>
  <c r="BF39" i="8"/>
  <c r="BG39" i="8"/>
  <c r="BG38" i="8"/>
  <c r="BF38" i="8"/>
  <c r="BG37" i="8"/>
  <c r="BF37" i="8"/>
  <c r="AQ62" i="8"/>
  <c r="BD62" i="8" s="1"/>
  <c r="AP62" i="8"/>
  <c r="AQ39" i="8"/>
  <c r="BD39" i="8" s="1"/>
  <c r="AP39" i="8"/>
  <c r="AY57" i="9" l="1"/>
  <c r="AY55" i="9"/>
  <c r="AY53" i="9"/>
  <c r="AY51" i="9"/>
  <c r="AY87" i="9"/>
  <c r="AY85" i="9"/>
  <c r="AY75" i="9"/>
  <c r="AY77" i="9"/>
  <c r="AY89" i="9"/>
  <c r="AY83" i="9"/>
  <c r="AY81" i="9"/>
  <c r="AY79" i="9"/>
  <c r="AY71" i="9"/>
  <c r="AY63" i="9"/>
  <c r="AY69" i="9"/>
  <c r="AY65" i="9"/>
  <c r="AY67" i="9"/>
  <c r="AY61" i="9"/>
  <c r="AY59" i="9"/>
  <c r="AY45" i="9"/>
  <c r="AY25" i="9"/>
  <c r="AY43" i="9"/>
  <c r="AY47" i="9"/>
  <c r="AY41" i="9"/>
  <c r="AY49" i="9"/>
  <c r="AY73" i="9"/>
  <c r="AZ3" i="9"/>
  <c r="AY23" i="9"/>
  <c r="AY19" i="9"/>
  <c r="AY13" i="9"/>
  <c r="AY11" i="9"/>
  <c r="AY21" i="9"/>
  <c r="AY17" i="9"/>
  <c r="AY7" i="9"/>
  <c r="AY5" i="9"/>
  <c r="AY15" i="9"/>
  <c r="AY9" i="9"/>
  <c r="BC62" i="8"/>
  <c r="AR62" i="8"/>
  <c r="BE62" i="8" s="1"/>
  <c r="BU62" i="8" s="1"/>
  <c r="BC39" i="8"/>
  <c r="AR39" i="8"/>
  <c r="BE39" i="8" s="1"/>
  <c r="BU39" i="8" s="1"/>
  <c r="AZ55" i="9" l="1"/>
  <c r="AZ53" i="9"/>
  <c r="AZ51" i="9"/>
  <c r="AZ57" i="9"/>
  <c r="AZ79" i="9"/>
  <c r="AZ89" i="9"/>
  <c r="AZ85" i="9"/>
  <c r="AZ81" i="9"/>
  <c r="AZ87" i="9"/>
  <c r="AZ77" i="9"/>
  <c r="AZ83" i="9"/>
  <c r="AZ75" i="9"/>
  <c r="AZ69" i="9"/>
  <c r="AZ61" i="9"/>
  <c r="AZ67" i="9"/>
  <c r="AZ63" i="9"/>
  <c r="AZ71" i="9"/>
  <c r="AZ65" i="9"/>
  <c r="AZ45" i="9"/>
  <c r="AZ49" i="9"/>
  <c r="AZ47" i="9"/>
  <c r="AZ73" i="9"/>
  <c r="AZ43" i="9"/>
  <c r="AZ25" i="9"/>
  <c r="AZ41" i="9"/>
  <c r="AZ59" i="9"/>
  <c r="BA3" i="9"/>
  <c r="AZ23" i="9"/>
  <c r="AZ21" i="9"/>
  <c r="AZ19" i="9"/>
  <c r="AZ17" i="9"/>
  <c r="AZ5" i="9"/>
  <c r="AZ13" i="9"/>
  <c r="AZ11" i="9"/>
  <c r="AZ7" i="9"/>
  <c r="AZ15" i="9"/>
  <c r="AZ9" i="9"/>
  <c r="BD38" i="8"/>
  <c r="BC38" i="8"/>
  <c r="BA53" i="9" l="1"/>
  <c r="BA51" i="9"/>
  <c r="BA57" i="9"/>
  <c r="BA55" i="9"/>
  <c r="BA83" i="9"/>
  <c r="BA89" i="9"/>
  <c r="BA85" i="9"/>
  <c r="BA79" i="9"/>
  <c r="BA77" i="9"/>
  <c r="BA81" i="9"/>
  <c r="BA87" i="9"/>
  <c r="BA75" i="9"/>
  <c r="BA67" i="9"/>
  <c r="BA65" i="9"/>
  <c r="BA63" i="9"/>
  <c r="BA61" i="9"/>
  <c r="BA71" i="9"/>
  <c r="BA69" i="9"/>
  <c r="BA49" i="9"/>
  <c r="BA73" i="9"/>
  <c r="BA45" i="9"/>
  <c r="BA47" i="9"/>
  <c r="BA25" i="9"/>
  <c r="BA41" i="9"/>
  <c r="BA59" i="9"/>
  <c r="BA43" i="9"/>
  <c r="BB3" i="9"/>
  <c r="BA21" i="9"/>
  <c r="BA19" i="9"/>
  <c r="BA23" i="9"/>
  <c r="BA17" i="9"/>
  <c r="BA15" i="9"/>
  <c r="BA13" i="9"/>
  <c r="BA9" i="9"/>
  <c r="BA5" i="9"/>
  <c r="BA11" i="9"/>
  <c r="BA7" i="9"/>
  <c r="BD37" i="8"/>
  <c r="CJ37" i="8" s="1"/>
  <c r="BC37" i="8"/>
  <c r="BB57" i="9" l="1"/>
  <c r="BB55" i="9"/>
  <c r="BB53" i="9"/>
  <c r="BB51" i="9"/>
  <c r="BB79" i="9"/>
  <c r="BB81" i="9"/>
  <c r="BB87" i="9"/>
  <c r="BB83" i="9"/>
  <c r="BB89" i="9"/>
  <c r="BB75" i="9"/>
  <c r="BB85" i="9"/>
  <c r="BB77" i="9"/>
  <c r="BB65" i="9"/>
  <c r="BB63" i="9"/>
  <c r="BB61" i="9"/>
  <c r="BB71" i="9"/>
  <c r="BB69" i="9"/>
  <c r="BB67" i="9"/>
  <c r="BB25" i="9"/>
  <c r="BB59" i="9"/>
  <c r="BB45" i="9"/>
  <c r="BB41" i="9"/>
  <c r="BB73" i="9"/>
  <c r="BB43" i="9"/>
  <c r="BB49" i="9"/>
  <c r="BB47" i="9"/>
  <c r="BC3" i="9"/>
  <c r="BB19" i="9"/>
  <c r="BB23" i="9"/>
  <c r="BB21" i="9"/>
  <c r="BB17" i="9"/>
  <c r="BB15" i="9"/>
  <c r="BB13" i="9"/>
  <c r="BB9" i="9"/>
  <c r="BB11" i="9"/>
  <c r="BB7" i="9"/>
  <c r="BB5" i="9"/>
  <c r="BJ38" i="8"/>
  <c r="BL38" i="8" s="1"/>
  <c r="CI37" i="8"/>
  <c r="CS38" i="8" l="1"/>
  <c r="CU38" i="8" s="1"/>
  <c r="CM38" i="8"/>
  <c r="CO38" i="8" s="1"/>
  <c r="CP38" i="8"/>
  <c r="CR38" i="8" s="1"/>
  <c r="CV38" i="8"/>
  <c r="CX38" i="8" s="1"/>
  <c r="BW38" i="8"/>
  <c r="BY38" i="8" s="1"/>
  <c r="CC38" i="8"/>
  <c r="CE38" i="8" s="1"/>
  <c r="CF38" i="8"/>
  <c r="CH38" i="8" s="1"/>
  <c r="BZ38" i="8"/>
  <c r="CB38" i="8" s="1"/>
  <c r="BC57" i="9"/>
  <c r="BC55" i="9"/>
  <c r="BC53" i="9"/>
  <c r="BC51" i="9"/>
  <c r="BC79" i="9"/>
  <c r="BC87" i="9"/>
  <c r="BC77" i="9"/>
  <c r="BC83" i="9"/>
  <c r="BC85" i="9"/>
  <c r="BC89" i="9"/>
  <c r="BC81" i="9"/>
  <c r="BC75" i="9"/>
  <c r="BC71" i="9"/>
  <c r="BC63" i="9"/>
  <c r="BC69" i="9"/>
  <c r="BC67" i="9"/>
  <c r="BC65" i="9"/>
  <c r="BC61" i="9"/>
  <c r="BC49" i="9"/>
  <c r="BC41" i="9"/>
  <c r="BC59" i="9"/>
  <c r="BC45" i="9"/>
  <c r="BC73" i="9"/>
  <c r="BC43" i="9"/>
  <c r="BC25" i="9"/>
  <c r="BC47" i="9"/>
  <c r="BD3" i="9"/>
  <c r="BC13" i="9"/>
  <c r="BC21" i="9"/>
  <c r="BC11" i="9"/>
  <c r="BC7" i="9"/>
  <c r="BC23" i="9"/>
  <c r="BC15" i="9"/>
  <c r="BC5" i="9"/>
  <c r="BC19" i="9"/>
  <c r="BC9" i="9"/>
  <c r="BC17" i="9"/>
  <c r="BK38" i="8"/>
  <c r="BJ37" i="8"/>
  <c r="BL37" i="8" s="1"/>
  <c r="CK37" i="8"/>
  <c r="CK38" i="8"/>
  <c r="CI38" i="8"/>
  <c r="CK39" i="8"/>
  <c r="CI39" i="8"/>
  <c r="CP37" i="8" l="1"/>
  <c r="CR37" i="8" s="1"/>
  <c r="CM37" i="8"/>
  <c r="CO37" i="8" s="1"/>
  <c r="BW37" i="8"/>
  <c r="BY37" i="8" s="1"/>
  <c r="BZ37" i="8"/>
  <c r="CB37" i="8" s="1"/>
  <c r="BD55" i="9"/>
  <c r="BD53" i="9"/>
  <c r="BD57" i="9"/>
  <c r="BD51" i="9"/>
  <c r="BD85" i="9"/>
  <c r="BD81" i="9"/>
  <c r="BD83" i="9"/>
  <c r="BD77" i="9"/>
  <c r="BD87" i="9"/>
  <c r="BD79" i="9"/>
  <c r="BD75" i="9"/>
  <c r="BD89" i="9"/>
  <c r="BD69" i="9"/>
  <c r="BD61" i="9"/>
  <c r="BD71" i="9"/>
  <c r="BD67" i="9"/>
  <c r="BD63" i="9"/>
  <c r="BD65" i="9"/>
  <c r="BD25" i="9"/>
  <c r="BD59" i="9"/>
  <c r="BD41" i="9"/>
  <c r="BD49" i="9"/>
  <c r="BD45" i="9"/>
  <c r="BD73" i="9"/>
  <c r="BD47" i="9"/>
  <c r="BD43" i="9"/>
  <c r="BD23" i="9"/>
  <c r="BD17" i="9"/>
  <c r="BD21" i="9"/>
  <c r="BD15" i="9"/>
  <c r="BD11" i="9"/>
  <c r="BD5" i="9"/>
  <c r="BD19" i="9"/>
  <c r="BD13" i="9"/>
  <c r="BD7" i="9"/>
  <c r="BD9" i="9"/>
  <c r="BE3" i="9"/>
  <c r="BK37" i="8"/>
  <c r="BO69" i="8"/>
  <c r="BO68" i="8"/>
  <c r="BO67" i="8"/>
  <c r="BO64" i="8"/>
  <c r="BO63" i="8"/>
  <c r="BO61" i="8"/>
  <c r="BO60" i="8"/>
  <c r="BO59" i="8"/>
  <c r="BO58" i="8"/>
  <c r="BO57" i="8"/>
  <c r="BO56" i="8"/>
  <c r="BO55" i="8"/>
  <c r="BO54" i="8"/>
  <c r="BO53" i="8"/>
  <c r="BO52" i="8"/>
  <c r="BM69" i="8"/>
  <c r="BM68" i="8"/>
  <c r="BM67" i="8"/>
  <c r="BM64" i="8"/>
  <c r="BM63" i="8"/>
  <c r="BM61" i="8"/>
  <c r="BM60" i="8"/>
  <c r="BM59" i="8"/>
  <c r="BM58" i="8"/>
  <c r="BM57" i="8"/>
  <c r="BM56" i="8"/>
  <c r="BM55" i="8"/>
  <c r="BM54" i="8"/>
  <c r="BM53" i="8"/>
  <c r="BM52" i="8"/>
  <c r="CJ39" i="8"/>
  <c r="CJ38" i="8"/>
  <c r="CL37" i="8"/>
  <c r="CL39" i="8"/>
  <c r="CL38" i="8"/>
  <c r="BE53" i="9" l="1"/>
  <c r="BE57" i="9"/>
  <c r="BE51" i="9"/>
  <c r="BE55" i="9"/>
  <c r="BE81" i="9"/>
  <c r="BE87" i="9"/>
  <c r="BE89" i="9"/>
  <c r="BE77" i="9"/>
  <c r="BE79" i="9"/>
  <c r="BE75" i="9"/>
  <c r="BE83" i="9"/>
  <c r="BE85" i="9"/>
  <c r="BE67" i="9"/>
  <c r="BE71" i="9"/>
  <c r="BE65" i="9"/>
  <c r="BE61" i="9"/>
  <c r="BE69" i="9"/>
  <c r="BE63" i="9"/>
  <c r="BE49" i="9"/>
  <c r="BE45" i="9"/>
  <c r="BE47" i="9"/>
  <c r="BE73" i="9"/>
  <c r="BE43" i="9"/>
  <c r="BE59" i="9"/>
  <c r="BE41" i="9"/>
  <c r="BE25" i="9"/>
  <c r="BF3" i="9"/>
  <c r="BE21" i="9"/>
  <c r="BE19" i="9"/>
  <c r="BE15" i="9"/>
  <c r="BE23" i="9"/>
  <c r="BE9" i="9"/>
  <c r="BE17" i="9"/>
  <c r="BE5" i="9"/>
  <c r="BE13" i="9"/>
  <c r="BE7" i="9"/>
  <c r="BE11" i="9"/>
  <c r="BN54" i="8"/>
  <c r="BN63" i="8"/>
  <c r="BN55" i="8"/>
  <c r="BN53" i="8"/>
  <c r="BN57" i="8"/>
  <c r="BN61" i="8"/>
  <c r="BN68" i="8"/>
  <c r="BN58" i="8"/>
  <c r="BN69" i="8"/>
  <c r="BN59" i="8"/>
  <c r="BN64" i="8"/>
  <c r="BN52" i="8"/>
  <c r="BN56" i="8"/>
  <c r="BN60" i="8"/>
  <c r="BN67" i="8"/>
  <c r="BP53" i="8"/>
  <c r="BP58" i="8"/>
  <c r="BP63" i="8"/>
  <c r="BP69" i="8"/>
  <c r="BP52" i="8"/>
  <c r="BP67" i="8"/>
  <c r="BP57" i="8"/>
  <c r="BP55" i="8"/>
  <c r="BP59" i="8"/>
  <c r="BP64" i="8"/>
  <c r="BP61" i="8"/>
  <c r="BP68" i="8"/>
  <c r="BP54" i="8"/>
  <c r="BP56" i="8"/>
  <c r="BP60" i="8"/>
  <c r="CL53" i="8"/>
  <c r="CK53" i="8"/>
  <c r="CJ53" i="8"/>
  <c r="CI53" i="8"/>
  <c r="CL52" i="8"/>
  <c r="CK52" i="8"/>
  <c r="CJ52" i="8"/>
  <c r="CI52" i="8"/>
  <c r="BF57" i="9" l="1"/>
  <c r="BF55" i="9"/>
  <c r="BF53" i="9"/>
  <c r="BF51" i="9"/>
  <c r="BF83" i="9"/>
  <c r="BF85" i="9"/>
  <c r="BF77" i="9"/>
  <c r="BF87" i="9"/>
  <c r="BF81" i="9"/>
  <c r="BF75" i="9"/>
  <c r="BF79" i="9"/>
  <c r="BF89" i="9"/>
  <c r="BF65" i="9"/>
  <c r="BF63" i="9"/>
  <c r="BF61" i="9"/>
  <c r="BF71" i="9"/>
  <c r="BF69" i="9"/>
  <c r="BF67" i="9"/>
  <c r="BF45" i="9"/>
  <c r="BF47" i="9"/>
  <c r="BF43" i="9"/>
  <c r="BF25" i="9"/>
  <c r="BF59" i="9"/>
  <c r="BF49" i="9"/>
  <c r="BF73" i="9"/>
  <c r="BF41" i="9"/>
  <c r="BG3" i="9"/>
  <c r="BF19" i="9"/>
  <c r="BF23" i="9"/>
  <c r="BF21" i="9"/>
  <c r="BF15" i="9"/>
  <c r="BF17" i="9"/>
  <c r="BF13" i="9"/>
  <c r="BF9" i="9"/>
  <c r="BF7" i="9"/>
  <c r="BF11" i="9"/>
  <c r="BF5" i="9"/>
  <c r="CL79" i="8"/>
  <c r="CK79" i="8"/>
  <c r="CJ79" i="8"/>
  <c r="CI79" i="8"/>
  <c r="CL78" i="8"/>
  <c r="CK78" i="8"/>
  <c r="CJ78" i="8"/>
  <c r="CI78" i="8"/>
  <c r="CL69" i="8"/>
  <c r="CK69" i="8"/>
  <c r="CJ69" i="8"/>
  <c r="CI69" i="8"/>
  <c r="CL68" i="8"/>
  <c r="CK68" i="8"/>
  <c r="CJ68" i="8"/>
  <c r="CI68" i="8"/>
  <c r="CL67" i="8"/>
  <c r="CK67" i="8"/>
  <c r="CJ67" i="8"/>
  <c r="CI67" i="8"/>
  <c r="CL64" i="8"/>
  <c r="CK64" i="8"/>
  <c r="CJ64" i="8"/>
  <c r="CI64" i="8"/>
  <c r="CL63" i="8"/>
  <c r="CK63" i="8"/>
  <c r="CJ63" i="8"/>
  <c r="CI63" i="8"/>
  <c r="CL61" i="8"/>
  <c r="CK61" i="8"/>
  <c r="CJ61" i="8"/>
  <c r="CI61" i="8"/>
  <c r="CL60" i="8"/>
  <c r="CK60" i="8"/>
  <c r="CJ60" i="8"/>
  <c r="CI60" i="8"/>
  <c r="CL59" i="8"/>
  <c r="CK59" i="8"/>
  <c r="CJ59" i="8"/>
  <c r="CI59" i="8"/>
  <c r="CL58" i="8"/>
  <c r="CK58" i="8"/>
  <c r="CJ58" i="8"/>
  <c r="CI58" i="8"/>
  <c r="CL57" i="8"/>
  <c r="CK57" i="8"/>
  <c r="CJ57" i="8"/>
  <c r="CI57" i="8"/>
  <c r="CL56" i="8"/>
  <c r="CK56" i="8"/>
  <c r="CJ56" i="8"/>
  <c r="CI56" i="8"/>
  <c r="CL55" i="8"/>
  <c r="CK55" i="8"/>
  <c r="CJ55" i="8"/>
  <c r="CI55" i="8"/>
  <c r="CL54" i="8"/>
  <c r="CK54" i="8"/>
  <c r="CJ54" i="8"/>
  <c r="CI54" i="8"/>
  <c r="BG28" i="8"/>
  <c r="BF28" i="8"/>
  <c r="BD28" i="8"/>
  <c r="BC28" i="8"/>
  <c r="R28" i="8"/>
  <c r="Q28" i="8"/>
  <c r="P28" i="8"/>
  <c r="BG57" i="9" l="1"/>
  <c r="BG55" i="9"/>
  <c r="BG53" i="9"/>
  <c r="BG51" i="9"/>
  <c r="BG79" i="9"/>
  <c r="BG87" i="9"/>
  <c r="BG83" i="9"/>
  <c r="BG89" i="9"/>
  <c r="BG85" i="9"/>
  <c r="BG81" i="9"/>
  <c r="BG77" i="9"/>
  <c r="BG75" i="9"/>
  <c r="BG71" i="9"/>
  <c r="BG63" i="9"/>
  <c r="BG61" i="9"/>
  <c r="BG69" i="9"/>
  <c r="BG67" i="9"/>
  <c r="BG65" i="9"/>
  <c r="BG49" i="9"/>
  <c r="BG59" i="9"/>
  <c r="BG45" i="9"/>
  <c r="BG73" i="9"/>
  <c r="BG47" i="9"/>
  <c r="BG25" i="9"/>
  <c r="BG43" i="9"/>
  <c r="BG41" i="9"/>
  <c r="BH3" i="9"/>
  <c r="BG23" i="9"/>
  <c r="BG21" i="9"/>
  <c r="BG19" i="9"/>
  <c r="BG17" i="9"/>
  <c r="BG13" i="9"/>
  <c r="BG11" i="9"/>
  <c r="BG7" i="9"/>
  <c r="BG5" i="9"/>
  <c r="BG15" i="9"/>
  <c r="BG9" i="9"/>
  <c r="AD28" i="8"/>
  <c r="AE28" i="8"/>
  <c r="AG28" i="8" s="1"/>
  <c r="Z28" i="8"/>
  <c r="AB28" i="8" s="1"/>
  <c r="Y28" i="8"/>
  <c r="AA28" i="8" l="1"/>
  <c r="AC28" i="8" s="1"/>
  <c r="AF28" i="8"/>
  <c r="BU28" i="8"/>
  <c r="CI28" i="8"/>
  <c r="BH55" i="9"/>
  <c r="BH53" i="9"/>
  <c r="BH51" i="9"/>
  <c r="BH57" i="9"/>
  <c r="BH87" i="9"/>
  <c r="BH75" i="9"/>
  <c r="BH79" i="9"/>
  <c r="BH89" i="9"/>
  <c r="BH85" i="9"/>
  <c r="BH83" i="9"/>
  <c r="BH81" i="9"/>
  <c r="BH77" i="9"/>
  <c r="BH69" i="9"/>
  <c r="BH61" i="9"/>
  <c r="BH67" i="9"/>
  <c r="BH65" i="9"/>
  <c r="BH63" i="9"/>
  <c r="BH71" i="9"/>
  <c r="BH25" i="9"/>
  <c r="BH59" i="9"/>
  <c r="BH49" i="9"/>
  <c r="BH47" i="9"/>
  <c r="BH45" i="9"/>
  <c r="BH43" i="9"/>
  <c r="BH41" i="9"/>
  <c r="BH73" i="9"/>
  <c r="BI3" i="9"/>
  <c r="BH23" i="9"/>
  <c r="BH17" i="9"/>
  <c r="BH19" i="9"/>
  <c r="BH5" i="9"/>
  <c r="BH13" i="9"/>
  <c r="BH11" i="9"/>
  <c r="BH7" i="9"/>
  <c r="BH9" i="9"/>
  <c r="BH21" i="9"/>
  <c r="BH15" i="9"/>
  <c r="CK28" i="8"/>
  <c r="BJ28" i="8"/>
  <c r="BL28" i="8" s="1"/>
  <c r="CJ28" i="8"/>
  <c r="BM28" i="8"/>
  <c r="CL28" i="8"/>
  <c r="BO28" i="8"/>
  <c r="BV28" i="8" l="1"/>
  <c r="CN28" i="8"/>
  <c r="CM28" i="8"/>
  <c r="CT28" i="8"/>
  <c r="CS28" i="8"/>
  <c r="BW28" i="8"/>
  <c r="BX28" i="8"/>
  <c r="CD28" i="8"/>
  <c r="CC28" i="8"/>
  <c r="BI53" i="9"/>
  <c r="BI51" i="9"/>
  <c r="BI55" i="9"/>
  <c r="BI57" i="9"/>
  <c r="BI87" i="9"/>
  <c r="BI89" i="9"/>
  <c r="BI79" i="9"/>
  <c r="BI75" i="9"/>
  <c r="BI81" i="9"/>
  <c r="BI77" i="9"/>
  <c r="BI83" i="9"/>
  <c r="BI85" i="9"/>
  <c r="BI67" i="9"/>
  <c r="BI71" i="9"/>
  <c r="BI69" i="9"/>
  <c r="BI65" i="9"/>
  <c r="BI61" i="9"/>
  <c r="BI63" i="9"/>
  <c r="BI25" i="9"/>
  <c r="BI59" i="9"/>
  <c r="BI73" i="9"/>
  <c r="BI47" i="9"/>
  <c r="BI43" i="9"/>
  <c r="BI41" i="9"/>
  <c r="BI49" i="9"/>
  <c r="BI45" i="9"/>
  <c r="BJ3" i="9"/>
  <c r="BI21" i="9"/>
  <c r="BI19" i="9"/>
  <c r="BI23" i="9"/>
  <c r="BI15" i="9"/>
  <c r="BI13" i="9"/>
  <c r="BI11" i="9"/>
  <c r="BI17" i="9"/>
  <c r="BI9" i="9"/>
  <c r="BI5" i="9"/>
  <c r="BI7" i="9"/>
  <c r="BN28" i="8"/>
  <c r="BK28" i="8"/>
  <c r="BP28" i="8"/>
  <c r="CU28" i="8" l="1"/>
  <c r="CV28" i="8"/>
  <c r="CW28" i="8"/>
  <c r="CO28" i="8"/>
  <c r="CP28" i="8"/>
  <c r="CQ28" i="8"/>
  <c r="CE28" i="8"/>
  <c r="CG28" i="8"/>
  <c r="CF28" i="8"/>
  <c r="CA28" i="8"/>
  <c r="BZ28" i="8"/>
  <c r="BY28" i="8"/>
  <c r="BJ57" i="9"/>
  <c r="BJ55" i="9"/>
  <c r="BJ53" i="9"/>
  <c r="BJ51" i="9"/>
  <c r="BJ75" i="9"/>
  <c r="BJ89" i="9"/>
  <c r="BJ85" i="9"/>
  <c r="BJ81" i="9"/>
  <c r="BJ77" i="9"/>
  <c r="BJ87" i="9"/>
  <c r="BJ83" i="9"/>
  <c r="BJ79" i="9"/>
  <c r="BJ65" i="9"/>
  <c r="BJ69" i="9"/>
  <c r="BJ63" i="9"/>
  <c r="BJ71" i="9"/>
  <c r="BJ67" i="9"/>
  <c r="BJ61" i="9"/>
  <c r="BJ25" i="9"/>
  <c r="BJ59" i="9"/>
  <c r="BJ49" i="9"/>
  <c r="BJ73" i="9"/>
  <c r="BJ45" i="9"/>
  <c r="BJ47" i="9"/>
  <c r="BJ43" i="9"/>
  <c r="BJ41" i="9"/>
  <c r="BK3" i="9"/>
  <c r="BJ19" i="9"/>
  <c r="BJ23" i="9"/>
  <c r="BJ15" i="9"/>
  <c r="BJ13" i="9"/>
  <c r="BJ17" i="9"/>
  <c r="BJ9" i="9"/>
  <c r="BJ7" i="9"/>
  <c r="BJ21" i="9"/>
  <c r="BJ11" i="9"/>
  <c r="BJ5" i="9"/>
  <c r="CR28" i="8" l="1"/>
  <c r="CX28" i="8"/>
  <c r="CB28" i="8"/>
  <c r="CH28" i="8"/>
  <c r="BK57" i="9"/>
  <c r="BK55" i="9"/>
  <c r="BK53" i="9"/>
  <c r="BK51" i="9"/>
  <c r="BK83" i="9"/>
  <c r="BK89" i="9"/>
  <c r="BK81" i="9"/>
  <c r="BK87" i="9"/>
  <c r="BK79" i="9"/>
  <c r="BK75" i="9"/>
  <c r="BK77" i="9"/>
  <c r="BK85" i="9"/>
  <c r="BK71" i="9"/>
  <c r="BK63" i="9"/>
  <c r="BK61" i="9"/>
  <c r="BK69" i="9"/>
  <c r="BK67" i="9"/>
  <c r="BK65" i="9"/>
  <c r="BK45" i="9"/>
  <c r="BK59" i="9"/>
  <c r="BK49" i="9"/>
  <c r="BK47" i="9"/>
  <c r="BK25" i="9"/>
  <c r="BK73" i="9"/>
  <c r="BK41" i="9"/>
  <c r="BK43" i="9"/>
  <c r="BL3" i="9"/>
  <c r="BK23" i="9"/>
  <c r="BK21" i="9"/>
  <c r="BK19" i="9"/>
  <c r="BK13" i="9"/>
  <c r="BK17" i="9"/>
  <c r="BK11" i="9"/>
  <c r="BK7" i="9"/>
  <c r="BK15" i="9"/>
  <c r="BK5" i="9"/>
  <c r="BK9" i="9"/>
  <c r="R77" i="8"/>
  <c r="Q77" i="8"/>
  <c r="R76" i="8"/>
  <c r="Q76" i="8"/>
  <c r="R75" i="8"/>
  <c r="Q75" i="8"/>
  <c r="R74" i="8"/>
  <c r="Q74" i="8"/>
  <c r="R73" i="8"/>
  <c r="Q73" i="8"/>
  <c r="R72" i="8"/>
  <c r="Q72" i="8"/>
  <c r="R51" i="8"/>
  <c r="Q51" i="8"/>
  <c r="R50" i="8"/>
  <c r="Q50" i="8"/>
  <c r="R49" i="8"/>
  <c r="Q49" i="8"/>
  <c r="R48" i="8"/>
  <c r="Q48" i="8"/>
  <c r="R47" i="8"/>
  <c r="Q47" i="8"/>
  <c r="R46" i="8"/>
  <c r="Q46" i="8"/>
  <c r="R35" i="8"/>
  <c r="Q35" i="8"/>
  <c r="Q34" i="8"/>
  <c r="R34" i="8"/>
  <c r="R33" i="8"/>
  <c r="Q33" i="8"/>
  <c r="R32" i="8"/>
  <c r="R31" i="8"/>
  <c r="Q31" i="8"/>
  <c r="R29" i="8"/>
  <c r="Q29" i="8"/>
  <c r="R27" i="8"/>
  <c r="BG89" i="8"/>
  <c r="BF89" i="8"/>
  <c r="BG88" i="8"/>
  <c r="BF88" i="8"/>
  <c r="BG87" i="8"/>
  <c r="BF87" i="8"/>
  <c r="BG86" i="8"/>
  <c r="BF86" i="8"/>
  <c r="BG85" i="8"/>
  <c r="BF85" i="8"/>
  <c r="BG84" i="8"/>
  <c r="BF84" i="8"/>
  <c r="BG83" i="8"/>
  <c r="BF83" i="8"/>
  <c r="BG82" i="8"/>
  <c r="BF82" i="8"/>
  <c r="BG81" i="8"/>
  <c r="BF81" i="8"/>
  <c r="BG79" i="8"/>
  <c r="BF79" i="8"/>
  <c r="BG78" i="8"/>
  <c r="BF78" i="8"/>
  <c r="BG77" i="8"/>
  <c r="BF77" i="8"/>
  <c r="BG76" i="8"/>
  <c r="BF76" i="8"/>
  <c r="BG75" i="8"/>
  <c r="BF75" i="8"/>
  <c r="BG74" i="8"/>
  <c r="BF74" i="8"/>
  <c r="BG73" i="8"/>
  <c r="BF73" i="8"/>
  <c r="BG72" i="8"/>
  <c r="BF72" i="8"/>
  <c r="BG69" i="8"/>
  <c r="BF69" i="8"/>
  <c r="BG68" i="8"/>
  <c r="BF68" i="8"/>
  <c r="BG67" i="8"/>
  <c r="BF67" i="8"/>
  <c r="BG63" i="8"/>
  <c r="BF63" i="8"/>
  <c r="BG61" i="8"/>
  <c r="BF61" i="8"/>
  <c r="BG60" i="8"/>
  <c r="BF60" i="8"/>
  <c r="BG59" i="8"/>
  <c r="BF59" i="8"/>
  <c r="BG58" i="8"/>
  <c r="BF58" i="8"/>
  <c r="BG57" i="8"/>
  <c r="BF57" i="8"/>
  <c r="BG56" i="8"/>
  <c r="BF56" i="8"/>
  <c r="BG55" i="8"/>
  <c r="BF55" i="8"/>
  <c r="BG54" i="8"/>
  <c r="BF54" i="8"/>
  <c r="BG53" i="8"/>
  <c r="BF53" i="8"/>
  <c r="BG52" i="8"/>
  <c r="BF52" i="8"/>
  <c r="BG45" i="8"/>
  <c r="BF45" i="8"/>
  <c r="BG44" i="8"/>
  <c r="BF44" i="8"/>
  <c r="BG43" i="8"/>
  <c r="BF43" i="8"/>
  <c r="BG42" i="8"/>
  <c r="BF42" i="8"/>
  <c r="BG40" i="8"/>
  <c r="BF40" i="8"/>
  <c r="BG36" i="8"/>
  <c r="BF36" i="8"/>
  <c r="BG35" i="8"/>
  <c r="BF35" i="8"/>
  <c r="BG34" i="8"/>
  <c r="BF34" i="8"/>
  <c r="BG33" i="8"/>
  <c r="BF33" i="8"/>
  <c r="BG32" i="8"/>
  <c r="BF32" i="8"/>
  <c r="BG31" i="8"/>
  <c r="BF31" i="8"/>
  <c r="BG30" i="8"/>
  <c r="BF30" i="8"/>
  <c r="BG29" i="8"/>
  <c r="BF29" i="8"/>
  <c r="BG27" i="8"/>
  <c r="BF27" i="8"/>
  <c r="BG26" i="8"/>
  <c r="BF26" i="8"/>
  <c r="BG20" i="8"/>
  <c r="BF20" i="8"/>
  <c r="BG19" i="8"/>
  <c r="BF19" i="8"/>
  <c r="BG10" i="8"/>
  <c r="BF10" i="8"/>
  <c r="BG9" i="8"/>
  <c r="BF9" i="8"/>
  <c r="BC9" i="8"/>
  <c r="BD9" i="8"/>
  <c r="BC19" i="8"/>
  <c r="BD19" i="8"/>
  <c r="BC20" i="8"/>
  <c r="BD20" i="8"/>
  <c r="BC26" i="8"/>
  <c r="BD26" i="8"/>
  <c r="BC27" i="8"/>
  <c r="BD27" i="8"/>
  <c r="BC29" i="8"/>
  <c r="BD29" i="8"/>
  <c r="BC30" i="8"/>
  <c r="BD30" i="8"/>
  <c r="BC31" i="8"/>
  <c r="BD31" i="8"/>
  <c r="BC32" i="8"/>
  <c r="BD32" i="8"/>
  <c r="BC33" i="8"/>
  <c r="BD33" i="8"/>
  <c r="BC34" i="8"/>
  <c r="BD34" i="8"/>
  <c r="BC35" i="8"/>
  <c r="BD35" i="8"/>
  <c r="BC36" i="8"/>
  <c r="BD36" i="8"/>
  <c r="BC40" i="8"/>
  <c r="BD40" i="8"/>
  <c r="BC42" i="8"/>
  <c r="BD42" i="8"/>
  <c r="BC43" i="8"/>
  <c r="BD43" i="8"/>
  <c r="BC44" i="8"/>
  <c r="BD44" i="8"/>
  <c r="BC45" i="8"/>
  <c r="BD45" i="8"/>
  <c r="BC52" i="8"/>
  <c r="BD52" i="8"/>
  <c r="BC53" i="8"/>
  <c r="BD53" i="8"/>
  <c r="BC54" i="8"/>
  <c r="BD54" i="8"/>
  <c r="BC55" i="8"/>
  <c r="BD55" i="8"/>
  <c r="BC56" i="8"/>
  <c r="BD56" i="8"/>
  <c r="BC57" i="8"/>
  <c r="BD57" i="8"/>
  <c r="BC58" i="8"/>
  <c r="BD58" i="8"/>
  <c r="BC59" i="8"/>
  <c r="BD59" i="8"/>
  <c r="BC60" i="8"/>
  <c r="BD60" i="8"/>
  <c r="BC61" i="8"/>
  <c r="BD61" i="8"/>
  <c r="BC63" i="8"/>
  <c r="BD63" i="8"/>
  <c r="BC64" i="8"/>
  <c r="BD64" i="8"/>
  <c r="BC67" i="8"/>
  <c r="BD67" i="8"/>
  <c r="BC68" i="8"/>
  <c r="BD68" i="8"/>
  <c r="BC69" i="8"/>
  <c r="BD69" i="8"/>
  <c r="AP72" i="8"/>
  <c r="AQ72" i="8"/>
  <c r="BD72" i="8" s="1"/>
  <c r="AP73" i="8"/>
  <c r="AQ73" i="8"/>
  <c r="BD73" i="8" s="1"/>
  <c r="AP74" i="8"/>
  <c r="AQ74" i="8"/>
  <c r="BD74" i="8" s="1"/>
  <c r="AP75" i="8"/>
  <c r="AQ75" i="8"/>
  <c r="BD75" i="8" s="1"/>
  <c r="AP76" i="8"/>
  <c r="AQ76" i="8"/>
  <c r="BD76" i="8" s="1"/>
  <c r="AP77" i="8"/>
  <c r="AQ77" i="8"/>
  <c r="BD77" i="8" s="1"/>
  <c r="AP78" i="8"/>
  <c r="AQ78" i="8"/>
  <c r="BD78" i="8" s="1"/>
  <c r="AP79" i="8"/>
  <c r="AQ79" i="8"/>
  <c r="BD79" i="8" s="1"/>
  <c r="BC81" i="8"/>
  <c r="BD81" i="8"/>
  <c r="BC82" i="8"/>
  <c r="BD82" i="8"/>
  <c r="BC83" i="8"/>
  <c r="BC84" i="8"/>
  <c r="BD84" i="8"/>
  <c r="BC85" i="8"/>
  <c r="BD85" i="8"/>
  <c r="BC86" i="8"/>
  <c r="BD86" i="8"/>
  <c r="BC87" i="8"/>
  <c r="BD87" i="8"/>
  <c r="BC88" i="8"/>
  <c r="BD88" i="8"/>
  <c r="BC89" i="8"/>
  <c r="BD89" i="8"/>
  <c r="P79" i="8"/>
  <c r="P78" i="8"/>
  <c r="P51" i="8"/>
  <c r="P50" i="8"/>
  <c r="P49" i="8"/>
  <c r="P48" i="8"/>
  <c r="P47" i="8"/>
  <c r="P46" i="8"/>
  <c r="P45" i="8"/>
  <c r="P44" i="8"/>
  <c r="P43" i="8"/>
  <c r="P35" i="8"/>
  <c r="P34" i="8"/>
  <c r="P33" i="8"/>
  <c r="P30" i="8"/>
  <c r="P29" i="8"/>
  <c r="P27" i="8"/>
  <c r="P10" i="8"/>
  <c r="BL55" i="9" l="1"/>
  <c r="BL53" i="9"/>
  <c r="BL57" i="9"/>
  <c r="BL51" i="9"/>
  <c r="BL87" i="9"/>
  <c r="BL75" i="9"/>
  <c r="BL81" i="9"/>
  <c r="BL83" i="9"/>
  <c r="BL79" i="9"/>
  <c r="BL89" i="9"/>
  <c r="BL85" i="9"/>
  <c r="BL77" i="9"/>
  <c r="BL69" i="9"/>
  <c r="BL61" i="9"/>
  <c r="BL67" i="9"/>
  <c r="BL65" i="9"/>
  <c r="BL63" i="9"/>
  <c r="BL71" i="9"/>
  <c r="BL45" i="9"/>
  <c r="BL49" i="9"/>
  <c r="BL47" i="9"/>
  <c r="BL25" i="9"/>
  <c r="BL73" i="9"/>
  <c r="BL59" i="9"/>
  <c r="BL43" i="9"/>
  <c r="BL41" i="9"/>
  <c r="BM3" i="9"/>
  <c r="BL23" i="9"/>
  <c r="BL21" i="9"/>
  <c r="BL19" i="9"/>
  <c r="BL17" i="9"/>
  <c r="BL15" i="9"/>
  <c r="BL5" i="9"/>
  <c r="BL13" i="9"/>
  <c r="BL7" i="9"/>
  <c r="BL11" i="9"/>
  <c r="BL9" i="9"/>
  <c r="W8" i="8"/>
  <c r="W12" i="8"/>
  <c r="W16" i="8"/>
  <c r="W20" i="8"/>
  <c r="W26" i="8"/>
  <c r="W30" i="8"/>
  <c r="W34" i="8"/>
  <c r="W38" i="8"/>
  <c r="W46" i="8"/>
  <c r="W50" i="8"/>
  <c r="W44" i="8"/>
  <c r="W11" i="8"/>
  <c r="W19" i="8"/>
  <c r="W29" i="8"/>
  <c r="W37" i="8"/>
  <c r="W45" i="8"/>
  <c r="W9" i="8"/>
  <c r="W13" i="8"/>
  <c r="W17" i="8"/>
  <c r="W21" i="8"/>
  <c r="W27" i="8"/>
  <c r="W31" i="8"/>
  <c r="W35" i="8"/>
  <c r="W43" i="8"/>
  <c r="W47" i="8"/>
  <c r="W51" i="8"/>
  <c r="W10" i="8"/>
  <c r="W14" i="8"/>
  <c r="W18" i="8"/>
  <c r="W23" i="8"/>
  <c r="W28" i="8"/>
  <c r="W32" i="8"/>
  <c r="W40" i="8"/>
  <c r="W48" i="8"/>
  <c r="W15" i="8"/>
  <c r="W25" i="8"/>
  <c r="W33" i="8"/>
  <c r="W49" i="8"/>
  <c r="W7" i="8"/>
  <c r="AD44" i="8"/>
  <c r="AE44" i="8"/>
  <c r="AG44" i="8" s="1"/>
  <c r="AD48" i="8"/>
  <c r="AE48" i="8"/>
  <c r="AG48" i="8" s="1"/>
  <c r="AE50" i="8"/>
  <c r="AG50" i="8" s="1"/>
  <c r="AD50" i="8"/>
  <c r="AD72" i="8"/>
  <c r="AE72" i="8"/>
  <c r="AG72" i="8" s="1"/>
  <c r="AE74" i="8"/>
  <c r="AG74" i="8" s="1"/>
  <c r="AD74" i="8"/>
  <c r="AB36" i="8"/>
  <c r="Z31" i="8"/>
  <c r="AB31" i="8" s="1"/>
  <c r="Y31" i="8"/>
  <c r="Y33" i="8"/>
  <c r="Z33" i="8"/>
  <c r="AB33" i="8" s="1"/>
  <c r="Z35" i="8"/>
  <c r="AB35" i="8" s="1"/>
  <c r="Y35" i="8"/>
  <c r="AD43" i="8"/>
  <c r="AE43" i="8"/>
  <c r="AG43" i="8" s="1"/>
  <c r="AE45" i="8"/>
  <c r="AG45" i="8" s="1"/>
  <c r="AD45" i="8"/>
  <c r="AD47" i="8"/>
  <c r="AE47" i="8"/>
  <c r="AG47" i="8" s="1"/>
  <c r="AE49" i="8"/>
  <c r="AG49" i="8" s="1"/>
  <c r="AD49" i="8"/>
  <c r="AD51" i="8"/>
  <c r="AE51" i="8"/>
  <c r="AG51" i="8" s="1"/>
  <c r="AE73" i="8"/>
  <c r="AG73" i="8" s="1"/>
  <c r="AD73" i="8"/>
  <c r="AD75" i="8"/>
  <c r="AE75" i="8"/>
  <c r="AG75" i="8" s="1"/>
  <c r="AE77" i="8"/>
  <c r="AG77" i="8" s="1"/>
  <c r="AD77" i="8"/>
  <c r="Z32" i="8"/>
  <c r="AB32" i="8" s="1"/>
  <c r="Y32" i="8"/>
  <c r="AD34" i="8"/>
  <c r="AE34" i="8"/>
  <c r="AG34" i="8" s="1"/>
  <c r="AE46" i="8"/>
  <c r="AG46" i="8" s="1"/>
  <c r="AD46" i="8"/>
  <c r="AD76" i="8"/>
  <c r="AE76" i="8"/>
  <c r="AG76" i="8" s="1"/>
  <c r="AE32" i="8"/>
  <c r="AG32" i="8" s="1"/>
  <c r="AD32" i="8"/>
  <c r="Z34" i="8"/>
  <c r="AB34" i="8" s="1"/>
  <c r="Y34" i="8"/>
  <c r="Z43" i="8"/>
  <c r="AB43" i="8" s="1"/>
  <c r="Y43" i="8"/>
  <c r="Z45" i="8"/>
  <c r="AB45" i="8" s="1"/>
  <c r="Y45" i="8"/>
  <c r="Z47" i="8"/>
  <c r="AB47" i="8" s="1"/>
  <c r="Y47" i="8"/>
  <c r="Z49" i="8"/>
  <c r="AB49" i="8" s="1"/>
  <c r="Y49" i="8"/>
  <c r="Z51" i="8"/>
  <c r="AB51" i="8" s="1"/>
  <c r="Y51" i="8"/>
  <c r="Y73" i="8"/>
  <c r="Z73" i="8"/>
  <c r="AB73" i="8" s="1"/>
  <c r="Z75" i="8"/>
  <c r="AB75" i="8" s="1"/>
  <c r="Y75" i="8"/>
  <c r="Y77" i="8"/>
  <c r="Z77" i="8"/>
  <c r="AB77" i="8" s="1"/>
  <c r="AE31" i="8"/>
  <c r="AG31" i="8" s="1"/>
  <c r="AD31" i="8"/>
  <c r="AD33" i="8"/>
  <c r="AE33" i="8"/>
  <c r="AG33" i="8" s="1"/>
  <c r="AE35" i="8"/>
  <c r="AG35" i="8" s="1"/>
  <c r="AD35" i="8"/>
  <c r="AG42" i="8"/>
  <c r="Z44" i="8"/>
  <c r="AB44" i="8" s="1"/>
  <c r="Y44" i="8"/>
  <c r="Z46" i="8"/>
  <c r="AB46" i="8" s="1"/>
  <c r="Y46" i="8"/>
  <c r="Z48" i="8"/>
  <c r="AB48" i="8" s="1"/>
  <c r="Y48" i="8"/>
  <c r="Z50" i="8"/>
  <c r="AB50" i="8" s="1"/>
  <c r="Y50" i="8"/>
  <c r="Z72" i="8"/>
  <c r="AB72" i="8" s="1"/>
  <c r="Y72" i="8"/>
  <c r="Y74" i="8"/>
  <c r="Z74" i="8"/>
  <c r="AB74" i="8" s="1"/>
  <c r="Z76" i="8"/>
  <c r="AB76" i="8" s="1"/>
  <c r="Y76" i="8"/>
  <c r="Y29" i="8"/>
  <c r="Z29" i="8"/>
  <c r="AB29" i="8" s="1"/>
  <c r="AE29" i="8"/>
  <c r="AG29" i="8" s="1"/>
  <c r="AD29" i="8"/>
  <c r="AD27" i="8"/>
  <c r="AE27" i="8"/>
  <c r="AG27" i="8" s="1"/>
  <c r="BC78" i="8"/>
  <c r="AR78" i="8"/>
  <c r="BE78" i="8" s="1"/>
  <c r="BC76" i="8"/>
  <c r="AR76" i="8"/>
  <c r="BE76" i="8" s="1"/>
  <c r="BC74" i="8"/>
  <c r="AR74" i="8"/>
  <c r="BE74" i="8" s="1"/>
  <c r="BC72" i="8"/>
  <c r="AR72" i="8"/>
  <c r="BE72" i="8" s="1"/>
  <c r="BC79" i="8"/>
  <c r="AR79" i="8"/>
  <c r="BE79" i="8" s="1"/>
  <c r="BC77" i="8"/>
  <c r="AR77" i="8"/>
  <c r="BE77" i="8" s="1"/>
  <c r="BC75" i="8"/>
  <c r="AR75" i="8"/>
  <c r="BE75" i="8" s="1"/>
  <c r="BC73" i="8"/>
  <c r="AR73" i="8"/>
  <c r="BE73" i="8" s="1"/>
  <c r="CK19" i="8"/>
  <c r="CK26" i="8"/>
  <c r="CI27" i="8"/>
  <c r="CI30" i="8"/>
  <c r="CK9" i="8"/>
  <c r="CI20" i="8"/>
  <c r="CI26" i="8"/>
  <c r="CK30" i="8"/>
  <c r="CI19" i="8"/>
  <c r="CJ19" i="8"/>
  <c r="CK40" i="8"/>
  <c r="CI40" i="8"/>
  <c r="CL40" i="8"/>
  <c r="CJ40" i="8"/>
  <c r="BD83" i="8"/>
  <c r="CT29" i="8" l="1"/>
  <c r="CS29" i="8"/>
  <c r="AA72" i="8"/>
  <c r="BQ72" i="8"/>
  <c r="BR72" i="8" s="1"/>
  <c r="AA44" i="8"/>
  <c r="BV44" i="8" s="1"/>
  <c r="AF51" i="8"/>
  <c r="CN33" i="8"/>
  <c r="CM33" i="8"/>
  <c r="AF50" i="8"/>
  <c r="CN34" i="8"/>
  <c r="CM34" i="8"/>
  <c r="AF73" i="8"/>
  <c r="BS73" i="8"/>
  <c r="BT73" i="8" s="1"/>
  <c r="AF49" i="8"/>
  <c r="CM35" i="8"/>
  <c r="CN35" i="8"/>
  <c r="CN50" i="8"/>
  <c r="CM50" i="8"/>
  <c r="CO50" i="8" s="1"/>
  <c r="CN46" i="8"/>
  <c r="CM46" i="8"/>
  <c r="AF33" i="8"/>
  <c r="AA77" i="8"/>
  <c r="BQ77" i="8"/>
  <c r="BR77" i="8" s="1"/>
  <c r="AA73" i="8"/>
  <c r="BQ73" i="8"/>
  <c r="BR73" i="8" s="1"/>
  <c r="AF76" i="8"/>
  <c r="BS76" i="8"/>
  <c r="BT76" i="8" s="1"/>
  <c r="AF34" i="8"/>
  <c r="AA76" i="8"/>
  <c r="AC76" i="8" s="1"/>
  <c r="BQ76" i="8"/>
  <c r="BR76" i="8" s="1"/>
  <c r="CM48" i="8"/>
  <c r="CN48" i="8"/>
  <c r="AF75" i="8"/>
  <c r="BS75" i="8"/>
  <c r="BT75" i="8" s="1"/>
  <c r="AF47" i="8"/>
  <c r="CT43" i="8"/>
  <c r="AF74" i="8"/>
  <c r="BS74" i="8"/>
  <c r="BT74" i="8" s="1"/>
  <c r="CN49" i="8"/>
  <c r="CM49" i="8"/>
  <c r="AA45" i="8"/>
  <c r="BV45" i="8" s="1"/>
  <c r="AF77" i="8"/>
  <c r="BS77" i="8"/>
  <c r="BT77" i="8" s="1"/>
  <c r="CT45" i="8"/>
  <c r="CS45" i="8"/>
  <c r="CM31" i="8"/>
  <c r="CN31" i="8"/>
  <c r="AA29" i="8"/>
  <c r="AC29" i="8" s="1"/>
  <c r="AA74" i="8"/>
  <c r="BQ74" i="8"/>
  <c r="BR74" i="8" s="1"/>
  <c r="AF35" i="8"/>
  <c r="AF31" i="8"/>
  <c r="AA75" i="8"/>
  <c r="AC75" i="8" s="1"/>
  <c r="BQ75" i="8"/>
  <c r="BR75" i="8" s="1"/>
  <c r="AA43" i="8"/>
  <c r="BV43" i="8" s="1"/>
  <c r="AF32" i="8"/>
  <c r="AF46" i="8"/>
  <c r="AF72" i="8"/>
  <c r="BS72" i="8"/>
  <c r="BT72" i="8" s="1"/>
  <c r="AF48" i="8"/>
  <c r="AA49" i="8"/>
  <c r="AC49" i="8" s="1"/>
  <c r="BU49" i="8"/>
  <c r="AA33" i="8"/>
  <c r="BV33" i="8" s="1"/>
  <c r="BU33" i="8"/>
  <c r="AA48" i="8"/>
  <c r="AC48" i="8" s="1"/>
  <c r="BU48" i="8"/>
  <c r="AA51" i="8"/>
  <c r="AC51" i="8" s="1"/>
  <c r="BU51" i="8"/>
  <c r="AA47" i="8"/>
  <c r="AC47" i="8" s="1"/>
  <c r="BU47" i="8"/>
  <c r="AA35" i="8"/>
  <c r="BV35" i="8" s="1"/>
  <c r="BU35" i="8"/>
  <c r="AA31" i="8"/>
  <c r="BV31" i="8" s="1"/>
  <c r="BU31" i="8"/>
  <c r="AA46" i="8"/>
  <c r="BV46" i="8" s="1"/>
  <c r="BU46" i="8"/>
  <c r="AA34" i="8"/>
  <c r="BV34" i="8" s="1"/>
  <c r="BU34" i="8"/>
  <c r="AA50" i="8"/>
  <c r="AC50" i="8" s="1"/>
  <c r="BU50" i="8"/>
  <c r="AF44" i="8"/>
  <c r="BU44" i="8"/>
  <c r="AF45" i="8"/>
  <c r="BU45" i="8"/>
  <c r="AF29" i="8"/>
  <c r="BU29" i="8"/>
  <c r="AF43" i="8"/>
  <c r="BU43" i="8"/>
  <c r="AF27" i="8"/>
  <c r="BU27" i="8"/>
  <c r="BU36" i="8"/>
  <c r="AF42" i="8"/>
  <c r="BU42" i="8"/>
  <c r="AA32" i="8"/>
  <c r="BV32" i="8" s="1"/>
  <c r="BU32" i="8"/>
  <c r="BM53" i="9"/>
  <c r="BM57" i="9"/>
  <c r="BM51" i="9"/>
  <c r="BM55" i="9"/>
  <c r="BM79" i="9"/>
  <c r="BM75" i="9"/>
  <c r="BM89" i="9"/>
  <c r="BM83" i="9"/>
  <c r="BM85" i="9"/>
  <c r="BM87" i="9"/>
  <c r="BM81" i="9"/>
  <c r="BM77" i="9"/>
  <c r="BM67" i="9"/>
  <c r="BM65" i="9"/>
  <c r="BM63" i="9"/>
  <c r="BM61" i="9"/>
  <c r="BM71" i="9"/>
  <c r="BM69" i="9"/>
  <c r="BM25" i="9"/>
  <c r="BM73" i="9"/>
  <c r="BM43" i="9"/>
  <c r="BM47" i="9"/>
  <c r="BM59" i="9"/>
  <c r="BM49" i="9"/>
  <c r="BM45" i="9"/>
  <c r="BM41" i="9"/>
  <c r="BN3" i="9"/>
  <c r="BM21" i="9"/>
  <c r="BM23" i="9"/>
  <c r="BM17" i="9"/>
  <c r="BM15" i="9"/>
  <c r="BM19" i="9"/>
  <c r="BM11" i="9"/>
  <c r="BM9" i="9"/>
  <c r="BM5" i="9"/>
  <c r="BM7" i="9"/>
  <c r="BM13" i="9"/>
  <c r="AC36" i="8"/>
  <c r="AC72" i="8"/>
  <c r="CK48" i="8"/>
  <c r="AC74" i="8"/>
  <c r="AC77" i="8"/>
  <c r="AC73" i="8"/>
  <c r="CJ74" i="8"/>
  <c r="CJ29" i="8"/>
  <c r="CK32" i="8"/>
  <c r="CK46" i="8"/>
  <c r="CL27" i="8"/>
  <c r="BJ26" i="8"/>
  <c r="BL26" i="8" s="1"/>
  <c r="CI45" i="8"/>
  <c r="CI36" i="8"/>
  <c r="CL23" i="8"/>
  <c r="CK10" i="8"/>
  <c r="CK77" i="8"/>
  <c r="CI51" i="8"/>
  <c r="CI33" i="8"/>
  <c r="CK49" i="8"/>
  <c r="CK36" i="8"/>
  <c r="CK27" i="8"/>
  <c r="CJ33" i="8"/>
  <c r="CK23" i="8"/>
  <c r="CI77" i="8"/>
  <c r="CL31" i="8"/>
  <c r="CK43" i="8"/>
  <c r="CK35" i="8"/>
  <c r="CI43" i="8"/>
  <c r="CI42" i="8"/>
  <c r="CI72" i="8"/>
  <c r="CK29" i="8"/>
  <c r="CI47" i="8"/>
  <c r="CI44" i="8"/>
  <c r="CK72" i="8"/>
  <c r="CK44" i="8"/>
  <c r="CK31" i="8"/>
  <c r="CK20" i="8"/>
  <c r="CL51" i="8"/>
  <c r="CI10" i="8"/>
  <c r="CK50" i="8"/>
  <c r="CK33" i="8"/>
  <c r="BM29" i="8"/>
  <c r="CK47" i="8"/>
  <c r="CI35" i="8"/>
  <c r="CI49" i="8"/>
  <c r="CI46" i="8"/>
  <c r="CK42" i="8"/>
  <c r="CI31" i="8"/>
  <c r="CI9" i="8"/>
  <c r="BJ36" i="8"/>
  <c r="BL36" i="8" s="1"/>
  <c r="BJ63" i="8"/>
  <c r="BL63" i="8" s="1"/>
  <c r="BJ43" i="8"/>
  <c r="BL43" i="8" s="1"/>
  <c r="CS43" i="8" s="1"/>
  <c r="BJ9" i="8"/>
  <c r="BL9" i="8" s="1"/>
  <c r="BJ32" i="8"/>
  <c r="BL32" i="8" s="1"/>
  <c r="BO77" i="8"/>
  <c r="BP77" i="8" s="1"/>
  <c r="BJ19" i="8"/>
  <c r="BL19" i="8" s="1"/>
  <c r="BJ64" i="8"/>
  <c r="BL64" i="8" s="1"/>
  <c r="BJ27" i="8"/>
  <c r="BL27" i="8" s="1"/>
  <c r="BJ29" i="8"/>
  <c r="BL29" i="8" s="1"/>
  <c r="BJ10" i="8"/>
  <c r="BL10" i="8" s="1"/>
  <c r="BJ30" i="8"/>
  <c r="BL30" i="8" s="1"/>
  <c r="BJ20" i="8"/>
  <c r="BL20" i="8" s="1"/>
  <c r="CK74" i="8"/>
  <c r="CI74" i="8"/>
  <c r="BJ40" i="8"/>
  <c r="BL40" i="8" s="1"/>
  <c r="BJ42" i="8"/>
  <c r="BL42" i="8" s="1"/>
  <c r="CK75" i="8"/>
  <c r="CI75" i="8"/>
  <c r="CK76" i="8"/>
  <c r="CI76" i="8"/>
  <c r="CI73" i="8"/>
  <c r="CJ26" i="8"/>
  <c r="CJ46" i="8"/>
  <c r="CJ35" i="8"/>
  <c r="BM50" i="8"/>
  <c r="BM77" i="8"/>
  <c r="BN77" i="8" s="1"/>
  <c r="BM43" i="8"/>
  <c r="BM33" i="8"/>
  <c r="CJ43" i="8"/>
  <c r="CL75" i="8"/>
  <c r="BO75" i="8"/>
  <c r="BP75" i="8" s="1"/>
  <c r="CL73" i="8"/>
  <c r="BO73" i="8"/>
  <c r="BP73" i="8" s="1"/>
  <c r="CJ73" i="8"/>
  <c r="BM73" i="8"/>
  <c r="BN73" i="8" s="1"/>
  <c r="CJ75" i="8"/>
  <c r="BM75" i="8"/>
  <c r="BN75" i="8" s="1"/>
  <c r="CI29" i="8"/>
  <c r="BO76" i="8"/>
  <c r="BP76" i="8" s="1"/>
  <c r="BO74" i="8"/>
  <c r="BP74" i="8" s="1"/>
  <c r="BO72" i="8"/>
  <c r="BP72" i="8" s="1"/>
  <c r="CJ76" i="8"/>
  <c r="BM76" i="8"/>
  <c r="BN76" i="8" s="1"/>
  <c r="BM74" i="8"/>
  <c r="BN74" i="8" s="1"/>
  <c r="BM72" i="8"/>
  <c r="BN72" i="8" s="1"/>
  <c r="BO36" i="8"/>
  <c r="BS36" i="8" s="1"/>
  <c r="CT36" i="8" s="1"/>
  <c r="BM9" i="8"/>
  <c r="BQ9" i="8" s="1"/>
  <c r="CN9" i="8" s="1"/>
  <c r="BM34" i="8"/>
  <c r="BM31" i="8"/>
  <c r="CJ23" i="8"/>
  <c r="CJ48" i="8"/>
  <c r="BM48" i="8"/>
  <c r="CJ45" i="8"/>
  <c r="BM45" i="8"/>
  <c r="CL34" i="8"/>
  <c r="BO34" i="8"/>
  <c r="CL77" i="8"/>
  <c r="CJ50" i="8"/>
  <c r="BO50" i="8"/>
  <c r="BO48" i="8"/>
  <c r="BO46" i="8"/>
  <c r="BO44" i="8"/>
  <c r="BM42" i="8"/>
  <c r="BQ42" i="8" s="1"/>
  <c r="CN42" i="8" s="1"/>
  <c r="CL32" i="8"/>
  <c r="BO32" i="8"/>
  <c r="CL30" i="8"/>
  <c r="BO30" i="8"/>
  <c r="BO27" i="8"/>
  <c r="BM26" i="8"/>
  <c r="CJ49" i="8"/>
  <c r="BM49" i="8"/>
  <c r="BM46" i="8"/>
  <c r="BO42" i="8"/>
  <c r="BS42" i="8" s="1"/>
  <c r="CT42" i="8" s="1"/>
  <c r="BM35" i="8"/>
  <c r="CJ32" i="8"/>
  <c r="BM32" i="8"/>
  <c r="BO26" i="8"/>
  <c r="CL20" i="8"/>
  <c r="BO20" i="8"/>
  <c r="CJ10" i="8"/>
  <c r="BM10" i="8"/>
  <c r="CJ77" i="8"/>
  <c r="CL35" i="8"/>
  <c r="BO35" i="8"/>
  <c r="CJ30" i="8"/>
  <c r="BM30" i="8"/>
  <c r="CJ34" i="8"/>
  <c r="BO51" i="8"/>
  <c r="CL49" i="8"/>
  <c r="BO49" i="8"/>
  <c r="CL47" i="8"/>
  <c r="BO47" i="8"/>
  <c r="CL45" i="8"/>
  <c r="BO45" i="8"/>
  <c r="CL43" i="8"/>
  <c r="BO43" i="8"/>
  <c r="CL33" i="8"/>
  <c r="BO33" i="8"/>
  <c r="BO31" i="8"/>
  <c r="BO29" i="8"/>
  <c r="BO10" i="8"/>
  <c r="BS10" i="8" s="1"/>
  <c r="CT10" i="8" s="1"/>
  <c r="CJ20" i="8"/>
  <c r="BM20" i="8"/>
  <c r="CL9" i="8"/>
  <c r="BO9" i="8"/>
  <c r="BM51" i="8"/>
  <c r="BM47" i="8"/>
  <c r="BM44" i="8"/>
  <c r="BM36" i="8"/>
  <c r="BQ36" i="8" s="1"/>
  <c r="CN36" i="8" s="1"/>
  <c r="CJ27" i="8"/>
  <c r="BM27" i="8"/>
  <c r="BO19" i="8"/>
  <c r="CL44" i="8"/>
  <c r="CI32" i="8"/>
  <c r="CK73" i="8"/>
  <c r="CI34" i="8"/>
  <c r="CI50" i="8"/>
  <c r="CL50" i="8"/>
  <c r="CJ31" i="8"/>
  <c r="CL48" i="8"/>
  <c r="CK51" i="8"/>
  <c r="BU78" i="8"/>
  <c r="CL29" i="8"/>
  <c r="CK34" i="8"/>
  <c r="CL46" i="8"/>
  <c r="CL76" i="8"/>
  <c r="CJ47" i="8"/>
  <c r="CK45" i="8"/>
  <c r="CI23" i="8"/>
  <c r="CJ9" i="8"/>
  <c r="CL26" i="8"/>
  <c r="CJ51" i="8"/>
  <c r="CL74" i="8"/>
  <c r="CI48" i="8"/>
  <c r="CJ44" i="8"/>
  <c r="CL10" i="8"/>
  <c r="CL72" i="8"/>
  <c r="CJ42" i="8"/>
  <c r="BU76" i="8"/>
  <c r="BU75" i="8"/>
  <c r="BU74" i="8"/>
  <c r="BU73" i="8"/>
  <c r="CJ72" i="8"/>
  <c r="CL42" i="8"/>
  <c r="CJ36" i="8"/>
  <c r="CL36" i="8"/>
  <c r="CL19" i="8"/>
  <c r="BU79" i="8"/>
  <c r="BU77" i="8"/>
  <c r="BU72" i="8"/>
  <c r="CU43" i="8" l="1"/>
  <c r="CO49" i="8"/>
  <c r="CO34" i="8"/>
  <c r="AC45" i="8"/>
  <c r="CU45" i="8"/>
  <c r="AC44" i="8"/>
  <c r="CP20" i="8"/>
  <c r="CR20" i="8" s="1"/>
  <c r="CS20" i="8"/>
  <c r="CU20" i="8" s="1"/>
  <c r="CV20" i="8"/>
  <c r="CX20" i="8" s="1"/>
  <c r="CM20" i="8"/>
  <c r="CO20" i="8" s="1"/>
  <c r="CS36" i="8"/>
  <c r="CU36" i="8" s="1"/>
  <c r="CM36" i="8"/>
  <c r="CO36" i="8" s="1"/>
  <c r="CP36" i="8"/>
  <c r="CR36" i="8" s="1"/>
  <c r="CQ31" i="8"/>
  <c r="CP31" i="8"/>
  <c r="CQ35" i="8"/>
  <c r="CP35" i="8"/>
  <c r="CT50" i="8"/>
  <c r="CS50" i="8"/>
  <c r="CQ33" i="8"/>
  <c r="CP33" i="8"/>
  <c r="CM30" i="8"/>
  <c r="CO30" i="8" s="1"/>
  <c r="CP30" i="8"/>
  <c r="CR30" i="8" s="1"/>
  <c r="CV30" i="8"/>
  <c r="CX30" i="8" s="1"/>
  <c r="CS30" i="8"/>
  <c r="CU30" i="8" s="1"/>
  <c r="CM9" i="8"/>
  <c r="CO9" i="8" s="1"/>
  <c r="CV9" i="8"/>
  <c r="CX9" i="8" s="1"/>
  <c r="CS9" i="8"/>
  <c r="CU9" i="8" s="1"/>
  <c r="AC43" i="8"/>
  <c r="CT32" i="8"/>
  <c r="CS32" i="8"/>
  <c r="CU32" i="8" s="1"/>
  <c r="CW45" i="8"/>
  <c r="CV45" i="8"/>
  <c r="CO48" i="8"/>
  <c r="CS34" i="8"/>
  <c r="CT34" i="8"/>
  <c r="CT33" i="8"/>
  <c r="CS33" i="8"/>
  <c r="CQ46" i="8"/>
  <c r="CP46" i="8"/>
  <c r="CR46" i="8" s="1"/>
  <c r="CT44" i="8"/>
  <c r="CS44" i="8"/>
  <c r="CT49" i="8"/>
  <c r="CS49" i="8"/>
  <c r="CT51" i="8"/>
  <c r="CS51" i="8"/>
  <c r="CM10" i="8"/>
  <c r="CO10" i="8" s="1"/>
  <c r="CS10" i="8"/>
  <c r="CU10" i="8" s="1"/>
  <c r="CP10" i="8"/>
  <c r="CR10" i="8" s="1"/>
  <c r="CM19" i="8"/>
  <c r="CO19" i="8" s="1"/>
  <c r="CP19" i="8"/>
  <c r="CR19" i="8" s="1"/>
  <c r="BV29" i="8"/>
  <c r="CT48" i="8"/>
  <c r="CS48" i="8"/>
  <c r="CN32" i="8"/>
  <c r="CM32" i="8"/>
  <c r="CN51" i="8"/>
  <c r="CM51" i="8"/>
  <c r="CN45" i="8"/>
  <c r="CM45" i="8"/>
  <c r="CQ49" i="8"/>
  <c r="CP49" i="8"/>
  <c r="CQ48" i="8"/>
  <c r="CP48" i="8"/>
  <c r="CO33" i="8"/>
  <c r="CM42" i="8"/>
  <c r="CO42" i="8" s="1"/>
  <c r="CS42" i="8"/>
  <c r="CU42" i="8" s="1"/>
  <c r="CM27" i="8"/>
  <c r="CO27" i="8" s="1"/>
  <c r="CP27" i="8"/>
  <c r="CR27" i="8" s="1"/>
  <c r="CP26" i="8"/>
  <c r="CR26" i="8" s="1"/>
  <c r="CM26" i="8"/>
  <c r="CO26" i="8" s="1"/>
  <c r="CS26" i="8"/>
  <c r="CU26" i="8" s="1"/>
  <c r="CV26" i="8"/>
  <c r="CX26" i="8" s="1"/>
  <c r="CT47" i="8"/>
  <c r="CS47" i="8"/>
  <c r="CP50" i="8"/>
  <c r="CQ50" i="8"/>
  <c r="CU29" i="8"/>
  <c r="CM40" i="8"/>
  <c r="CO40" i="8" s="1"/>
  <c r="CS40" i="8"/>
  <c r="CU40" i="8" s="1"/>
  <c r="CP40" i="8"/>
  <c r="CR40" i="8" s="1"/>
  <c r="CV40" i="8"/>
  <c r="CX40" i="8" s="1"/>
  <c r="CM47" i="8"/>
  <c r="CN47" i="8"/>
  <c r="CT31" i="8"/>
  <c r="CS31" i="8"/>
  <c r="CT27" i="8"/>
  <c r="CS27" i="8"/>
  <c r="CS46" i="8"/>
  <c r="CT46" i="8"/>
  <c r="CM43" i="8"/>
  <c r="CN43" i="8"/>
  <c r="CT35" i="8"/>
  <c r="CS35" i="8"/>
  <c r="CN29" i="8"/>
  <c r="CM29" i="8"/>
  <c r="CO31" i="8"/>
  <c r="CW43" i="8"/>
  <c r="CV43" i="8"/>
  <c r="CO46" i="8"/>
  <c r="CO35" i="8"/>
  <c r="CQ34" i="8"/>
  <c r="CP34" i="8"/>
  <c r="CN44" i="8"/>
  <c r="CM44" i="8"/>
  <c r="CO44" i="8" s="1"/>
  <c r="CW29" i="8"/>
  <c r="CV29" i="8"/>
  <c r="BV47" i="8"/>
  <c r="BV48" i="8"/>
  <c r="BV49" i="8"/>
  <c r="AC31" i="8"/>
  <c r="AC34" i="8"/>
  <c r="BV50" i="8"/>
  <c r="BV51" i="8"/>
  <c r="AC46" i="8"/>
  <c r="AC35" i="8"/>
  <c r="AC33" i="8"/>
  <c r="AC32" i="8"/>
  <c r="BX51" i="8"/>
  <c r="BW51" i="8"/>
  <c r="CD33" i="8"/>
  <c r="CC33" i="8"/>
  <c r="CD49" i="8"/>
  <c r="CC49" i="8"/>
  <c r="BX45" i="8"/>
  <c r="BW45" i="8"/>
  <c r="BX43" i="8"/>
  <c r="BW43" i="8"/>
  <c r="BW36" i="8"/>
  <c r="BX36" i="8"/>
  <c r="CD9" i="8"/>
  <c r="CC9" i="8"/>
  <c r="BW10" i="8"/>
  <c r="BX10" i="8"/>
  <c r="CD42" i="8"/>
  <c r="CC42" i="8"/>
  <c r="CC32" i="8"/>
  <c r="CD32" i="8"/>
  <c r="BW19" i="8"/>
  <c r="BY19" i="8" s="1"/>
  <c r="BZ19" i="8"/>
  <c r="CB19" i="8" s="1"/>
  <c r="CD19" i="8"/>
  <c r="CC19" i="8"/>
  <c r="BW44" i="8"/>
  <c r="BX44" i="8"/>
  <c r="CD29" i="8"/>
  <c r="CC29" i="8"/>
  <c r="CD43" i="8"/>
  <c r="CC43" i="8"/>
  <c r="CC47" i="8"/>
  <c r="CD47" i="8"/>
  <c r="CC51" i="8"/>
  <c r="CD51" i="8"/>
  <c r="CD35" i="8"/>
  <c r="CC35" i="8"/>
  <c r="BW32" i="8"/>
  <c r="BX32" i="8"/>
  <c r="BX46" i="8"/>
  <c r="BW46" i="8"/>
  <c r="CD27" i="8"/>
  <c r="CC27" i="8"/>
  <c r="CD48" i="8"/>
  <c r="CC48" i="8"/>
  <c r="CD34" i="8"/>
  <c r="CC34" i="8"/>
  <c r="BW48" i="8"/>
  <c r="BX48" i="8"/>
  <c r="BX34" i="8"/>
  <c r="BW34" i="8"/>
  <c r="BX50" i="8"/>
  <c r="BW50" i="8"/>
  <c r="CD45" i="8"/>
  <c r="CC45" i="8"/>
  <c r="BX30" i="8"/>
  <c r="BW30" i="8"/>
  <c r="BX35" i="8"/>
  <c r="BW35" i="8"/>
  <c r="CD44" i="8"/>
  <c r="CC44" i="8"/>
  <c r="CC36" i="8"/>
  <c r="CD36" i="8"/>
  <c r="BW40" i="8"/>
  <c r="BY40" i="8" s="1"/>
  <c r="CC40" i="8"/>
  <c r="CE40" i="8" s="1"/>
  <c r="CF40" i="8"/>
  <c r="CH40" i="8" s="1"/>
  <c r="BZ40" i="8"/>
  <c r="CB40" i="8" s="1"/>
  <c r="CC10" i="8"/>
  <c r="CD10" i="8"/>
  <c r="CD26" i="8"/>
  <c r="CC26" i="8"/>
  <c r="BX26" i="8"/>
  <c r="BW26" i="8"/>
  <c r="CD46" i="8"/>
  <c r="CC46" i="8"/>
  <c r="BX31" i="8"/>
  <c r="BW31" i="8"/>
  <c r="BX27" i="8"/>
  <c r="BW27" i="8"/>
  <c r="BX47" i="8"/>
  <c r="BW47" i="8"/>
  <c r="BW20" i="8"/>
  <c r="BX20" i="8"/>
  <c r="CD31" i="8"/>
  <c r="CC31" i="8"/>
  <c r="CD20" i="8"/>
  <c r="CC20" i="8"/>
  <c r="BX49" i="8"/>
  <c r="BW49" i="8"/>
  <c r="CD30" i="8"/>
  <c r="CC30" i="8"/>
  <c r="BX42" i="8"/>
  <c r="BW42" i="8"/>
  <c r="CD50" i="8"/>
  <c r="CC50" i="8"/>
  <c r="BX9" i="8"/>
  <c r="BW9" i="8"/>
  <c r="BX33" i="8"/>
  <c r="BW33" i="8"/>
  <c r="BX29" i="8"/>
  <c r="BW29" i="8"/>
  <c r="BN57" i="9"/>
  <c r="BN53" i="9"/>
  <c r="BN55" i="9"/>
  <c r="BN51" i="9"/>
  <c r="BN87" i="9"/>
  <c r="BN85" i="9"/>
  <c r="BN79" i="9"/>
  <c r="BN89" i="9"/>
  <c r="BN81" i="9"/>
  <c r="BN83" i="9"/>
  <c r="BN75" i="9"/>
  <c r="BN77" i="9"/>
  <c r="BN65" i="9"/>
  <c r="BN71" i="9"/>
  <c r="BN69" i="9"/>
  <c r="BN67" i="9"/>
  <c r="BN63" i="9"/>
  <c r="BN61" i="9"/>
  <c r="BN25" i="9"/>
  <c r="BN49" i="9"/>
  <c r="BN59" i="9"/>
  <c r="BN45" i="9"/>
  <c r="BN73" i="9"/>
  <c r="BN43" i="9"/>
  <c r="BN41" i="9"/>
  <c r="BN47" i="9"/>
  <c r="BN19" i="9"/>
  <c r="BN15" i="9"/>
  <c r="BN21" i="9"/>
  <c r="BN13" i="9"/>
  <c r="BN11" i="9"/>
  <c r="BN9" i="9"/>
  <c r="BN7" i="9"/>
  <c r="BN5" i="9"/>
  <c r="BN23" i="9"/>
  <c r="BN17" i="9"/>
  <c r="BO3" i="9"/>
  <c r="BN34" i="8"/>
  <c r="BN44" i="8"/>
  <c r="BN35" i="8"/>
  <c r="BN45" i="8"/>
  <c r="BN32" i="8"/>
  <c r="BN46" i="8"/>
  <c r="BN48" i="8"/>
  <c r="BN31" i="8"/>
  <c r="BN36" i="8"/>
  <c r="BR36" i="8" s="1"/>
  <c r="CQ36" i="8" s="1"/>
  <c r="BN49" i="8"/>
  <c r="BN42" i="8"/>
  <c r="BR42" i="8" s="1"/>
  <c r="CQ42" i="8" s="1"/>
  <c r="BN47" i="8"/>
  <c r="BN29" i="8"/>
  <c r="BK9" i="8"/>
  <c r="BK63" i="8"/>
  <c r="BK40" i="8"/>
  <c r="BK30" i="8"/>
  <c r="BK64" i="8"/>
  <c r="BK36" i="8"/>
  <c r="BK42" i="8"/>
  <c r="BK20" i="8"/>
  <c r="BK23" i="8"/>
  <c r="BK10" i="8"/>
  <c r="BK29" i="8"/>
  <c r="BK27" i="8"/>
  <c r="BK19" i="8"/>
  <c r="BK32" i="8"/>
  <c r="BK43" i="8"/>
  <c r="BK26" i="8"/>
  <c r="BN9" i="8"/>
  <c r="BR9" i="8" s="1"/>
  <c r="CQ9" i="8" s="1"/>
  <c r="BN10" i="8"/>
  <c r="BN26" i="8"/>
  <c r="BN20" i="8"/>
  <c r="BN30" i="8"/>
  <c r="BN27" i="8"/>
  <c r="BN51" i="8"/>
  <c r="BP36" i="8"/>
  <c r="BT36" i="8" s="1"/>
  <c r="CW36" i="8" s="1"/>
  <c r="BP33" i="8"/>
  <c r="BP45" i="8"/>
  <c r="BP49" i="8"/>
  <c r="BP27" i="8"/>
  <c r="BP48" i="8"/>
  <c r="BP9" i="8"/>
  <c r="BP10" i="8"/>
  <c r="BT10" i="8" s="1"/>
  <c r="CW10" i="8" s="1"/>
  <c r="BP26" i="8"/>
  <c r="BP42" i="8"/>
  <c r="BT42" i="8" s="1"/>
  <c r="CW42" i="8" s="1"/>
  <c r="BP30" i="8"/>
  <c r="BP50" i="8"/>
  <c r="BP34" i="8"/>
  <c r="BP29" i="8"/>
  <c r="BP43" i="8"/>
  <c r="BP47" i="8"/>
  <c r="BP51" i="8"/>
  <c r="BP44" i="8"/>
  <c r="BP19" i="8"/>
  <c r="BP31" i="8"/>
  <c r="BP35" i="8"/>
  <c r="BP20" i="8"/>
  <c r="BP32" i="8"/>
  <c r="BP46" i="8"/>
  <c r="BN50" i="8"/>
  <c r="BN33" i="8"/>
  <c r="BN43" i="8"/>
  <c r="CV10" i="8" l="1"/>
  <c r="CX10" i="8" s="1"/>
  <c r="CP9" i="8"/>
  <c r="CR9" i="8" s="1"/>
  <c r="CV36" i="8"/>
  <c r="CX36" i="8" s="1"/>
  <c r="CP42" i="8"/>
  <c r="CR42" i="8" s="1"/>
  <c r="CV42" i="8"/>
  <c r="CX42" i="8" s="1"/>
  <c r="CU51" i="8"/>
  <c r="CO45" i="8"/>
  <c r="CO29" i="8"/>
  <c r="CU27" i="8"/>
  <c r="CU31" i="8"/>
  <c r="CO32" i="8"/>
  <c r="CU48" i="8"/>
  <c r="CU44" i="8"/>
  <c r="CX45" i="8"/>
  <c r="CU50" i="8"/>
  <c r="CR31" i="8"/>
  <c r="CR34" i="8"/>
  <c r="CU47" i="8"/>
  <c r="CO51" i="8"/>
  <c r="CU49" i="8"/>
  <c r="CU33" i="8"/>
  <c r="CR33" i="8"/>
  <c r="CP44" i="8"/>
  <c r="CQ44" i="8"/>
  <c r="CQ47" i="8"/>
  <c r="CP47" i="8"/>
  <c r="CW49" i="8"/>
  <c r="CV49" i="8"/>
  <c r="CX29" i="8"/>
  <c r="CR49" i="8"/>
  <c r="CW51" i="8"/>
  <c r="CV51" i="8"/>
  <c r="CU34" i="8"/>
  <c r="CV32" i="8"/>
  <c r="CW32" i="8"/>
  <c r="CX32" i="8" s="1"/>
  <c r="CX43" i="8"/>
  <c r="CQ29" i="8"/>
  <c r="CP29" i="8"/>
  <c r="CW46" i="8"/>
  <c r="CV46" i="8"/>
  <c r="CP32" i="8"/>
  <c r="CQ32" i="8"/>
  <c r="CR35" i="8"/>
  <c r="CQ43" i="8"/>
  <c r="CP43" i="8"/>
  <c r="CW47" i="8"/>
  <c r="CV47" i="8"/>
  <c r="CQ45" i="8"/>
  <c r="CP45" i="8"/>
  <c r="CW33" i="8"/>
  <c r="CV33" i="8"/>
  <c r="CW35" i="8"/>
  <c r="CV35" i="8"/>
  <c r="CW27" i="8"/>
  <c r="CV27" i="8"/>
  <c r="CU35" i="8"/>
  <c r="CO43" i="8"/>
  <c r="CU46" i="8"/>
  <c r="CW31" i="8"/>
  <c r="CV31" i="8"/>
  <c r="CO47" i="8"/>
  <c r="CR50" i="8"/>
  <c r="CR48" i="8"/>
  <c r="CQ51" i="8"/>
  <c r="CP51" i="8"/>
  <c r="CW48" i="8"/>
  <c r="CV48" i="8"/>
  <c r="CX48" i="8" s="1"/>
  <c r="CV44" i="8"/>
  <c r="CW44" i="8"/>
  <c r="CW34" i="8"/>
  <c r="CV34" i="8"/>
  <c r="CV50" i="8"/>
  <c r="CW50" i="8"/>
  <c r="BY9" i="8"/>
  <c r="CE31" i="8"/>
  <c r="BY31" i="8"/>
  <c r="BY26" i="8"/>
  <c r="BY50" i="8"/>
  <c r="BY48" i="8"/>
  <c r="CE48" i="8"/>
  <c r="BY46" i="8"/>
  <c r="CE35" i="8"/>
  <c r="CE19" i="8"/>
  <c r="BY44" i="8"/>
  <c r="BY33" i="8"/>
  <c r="CE36" i="8"/>
  <c r="BY51" i="8"/>
  <c r="CE33" i="8"/>
  <c r="CE44" i="8"/>
  <c r="CE29" i="8"/>
  <c r="CE43" i="8"/>
  <c r="CA43" i="8"/>
  <c r="BZ43" i="8"/>
  <c r="CG43" i="8"/>
  <c r="CF43" i="8"/>
  <c r="CF9" i="8"/>
  <c r="CG9" i="8"/>
  <c r="CA27" i="8"/>
  <c r="BZ27" i="8"/>
  <c r="CA48" i="8"/>
  <c r="BZ48" i="8"/>
  <c r="CG44" i="8"/>
  <c r="CF44" i="8"/>
  <c r="CG42" i="8"/>
  <c r="CF42" i="8"/>
  <c r="CF33" i="8"/>
  <c r="CG33" i="8"/>
  <c r="CA9" i="8"/>
  <c r="BZ9" i="8"/>
  <c r="BZ46" i="8"/>
  <c r="CA46" i="8"/>
  <c r="CA44" i="8"/>
  <c r="BZ44" i="8"/>
  <c r="BY29" i="8"/>
  <c r="BY42" i="8"/>
  <c r="CE10" i="8"/>
  <c r="CE47" i="8"/>
  <c r="BY10" i="8"/>
  <c r="BY36" i="8"/>
  <c r="BZ50" i="8"/>
  <c r="CA50" i="8"/>
  <c r="CG35" i="8"/>
  <c r="CF35" i="8"/>
  <c r="CG51" i="8"/>
  <c r="CF51" i="8"/>
  <c r="CG34" i="8"/>
  <c r="CF34" i="8"/>
  <c r="CG26" i="8"/>
  <c r="CF26" i="8"/>
  <c r="CG27" i="8"/>
  <c r="CF27" i="8"/>
  <c r="CG36" i="8"/>
  <c r="CF36" i="8"/>
  <c r="CA20" i="8"/>
  <c r="BZ20" i="8"/>
  <c r="CA29" i="8"/>
  <c r="BZ29" i="8"/>
  <c r="CA36" i="8"/>
  <c r="BZ36" i="8"/>
  <c r="CA32" i="8"/>
  <c r="BZ32" i="8"/>
  <c r="BZ34" i="8"/>
  <c r="CA34" i="8"/>
  <c r="CE50" i="8"/>
  <c r="CE30" i="8"/>
  <c r="CE20" i="8"/>
  <c r="BY20" i="8"/>
  <c r="BY27" i="8"/>
  <c r="CE46" i="8"/>
  <c r="CE26" i="8"/>
  <c r="BY35" i="8"/>
  <c r="CE45" i="8"/>
  <c r="BY34" i="8"/>
  <c r="CE34" i="8"/>
  <c r="CE27" i="8"/>
  <c r="CE42" i="8"/>
  <c r="CE9" i="8"/>
  <c r="BY43" i="8"/>
  <c r="CE49" i="8"/>
  <c r="CG32" i="8"/>
  <c r="CF32" i="8"/>
  <c r="CG19" i="8"/>
  <c r="CF19" i="8"/>
  <c r="CG30" i="8"/>
  <c r="CF30" i="8"/>
  <c r="CF45" i="8"/>
  <c r="CG45" i="8"/>
  <c r="BZ10" i="8"/>
  <c r="CA10" i="8"/>
  <c r="BZ42" i="8"/>
  <c r="CA42" i="8"/>
  <c r="CA35" i="8"/>
  <c r="BZ35" i="8"/>
  <c r="CA33" i="8"/>
  <c r="BZ33" i="8"/>
  <c r="CG20" i="8"/>
  <c r="CF20" i="8"/>
  <c r="CF29" i="8"/>
  <c r="CG29" i="8"/>
  <c r="CG48" i="8"/>
  <c r="CF48" i="8"/>
  <c r="BZ30" i="8"/>
  <c r="CA30" i="8"/>
  <c r="CA49" i="8"/>
  <c r="BZ49" i="8"/>
  <c r="BY49" i="8"/>
  <c r="BY47" i="8"/>
  <c r="BY30" i="8"/>
  <c r="CE32" i="8"/>
  <c r="BY45" i="8"/>
  <c r="CG46" i="8"/>
  <c r="CF46" i="8"/>
  <c r="CG31" i="8"/>
  <c r="CF31" i="8"/>
  <c r="CG47" i="8"/>
  <c r="CF47" i="8"/>
  <c r="CG50" i="8"/>
  <c r="CF50" i="8"/>
  <c r="CG10" i="8"/>
  <c r="CF10" i="8"/>
  <c r="CF49" i="8"/>
  <c r="CG49" i="8"/>
  <c r="CA51" i="8"/>
  <c r="BZ51" i="8"/>
  <c r="BZ26" i="8"/>
  <c r="CA26" i="8"/>
  <c r="CA47" i="8"/>
  <c r="BZ47" i="8"/>
  <c r="CA31" i="8"/>
  <c r="BZ31" i="8"/>
  <c r="CA45" i="8"/>
  <c r="BZ45" i="8"/>
  <c r="BY32" i="8"/>
  <c r="CE51" i="8"/>
  <c r="BO57" i="9"/>
  <c r="BO55" i="9"/>
  <c r="BO53" i="9"/>
  <c r="BO51" i="9"/>
  <c r="BO87" i="9"/>
  <c r="BO75" i="9"/>
  <c r="BO89" i="9"/>
  <c r="BO83" i="9"/>
  <c r="BO79" i="9"/>
  <c r="BO81" i="9"/>
  <c r="BO85" i="9"/>
  <c r="BO77" i="9"/>
  <c r="BO71" i="9"/>
  <c r="BO63" i="9"/>
  <c r="BO67" i="9"/>
  <c r="BO61" i="9"/>
  <c r="BO69" i="9"/>
  <c r="BO65" i="9"/>
  <c r="BO25" i="9"/>
  <c r="BO59" i="9"/>
  <c r="BO49" i="9"/>
  <c r="BO45" i="9"/>
  <c r="BO43" i="9"/>
  <c r="BO41" i="9"/>
  <c r="BO73" i="9"/>
  <c r="BO47" i="9"/>
  <c r="BP3" i="9"/>
  <c r="BO21" i="9"/>
  <c r="BO13" i="9"/>
  <c r="BO11" i="9"/>
  <c r="BO19" i="9"/>
  <c r="BO7" i="9"/>
  <c r="BO5" i="9"/>
  <c r="BO23" i="9"/>
  <c r="BO17" i="9"/>
  <c r="BO15" i="9"/>
  <c r="BO9" i="9"/>
  <c r="CX49" i="8" l="1"/>
  <c r="CX35" i="8"/>
  <c r="CR44" i="8"/>
  <c r="CR29" i="8"/>
  <c r="CX31" i="8"/>
  <c r="CX46" i="8"/>
  <c r="CX51" i="8"/>
  <c r="CX34" i="8"/>
  <c r="CX27" i="8"/>
  <c r="CX33" i="8"/>
  <c r="CX47" i="8"/>
  <c r="CR47" i="8"/>
  <c r="CX50" i="8"/>
  <c r="CX44" i="8"/>
  <c r="CR51" i="8"/>
  <c r="CR45" i="8"/>
  <c r="CR43" i="8"/>
  <c r="CR32" i="8"/>
  <c r="CB26" i="8"/>
  <c r="CH50" i="8"/>
  <c r="CH31" i="8"/>
  <c r="CB33" i="8"/>
  <c r="CH19" i="8"/>
  <c r="CB34" i="8"/>
  <c r="CB20" i="8"/>
  <c r="CH34" i="8"/>
  <c r="CH35" i="8"/>
  <c r="CB46" i="8"/>
  <c r="CB9" i="8"/>
  <c r="CB43" i="8"/>
  <c r="CB35" i="8"/>
  <c r="CH9" i="8"/>
  <c r="CH27" i="8"/>
  <c r="CH44" i="8"/>
  <c r="CH43" i="8"/>
  <c r="CB32" i="8"/>
  <c r="CB30" i="8"/>
  <c r="CH29" i="8"/>
  <c r="CB42" i="8"/>
  <c r="CB36" i="8"/>
  <c r="CH33" i="8"/>
  <c r="CB27" i="8"/>
  <c r="CB31" i="8"/>
  <c r="CH49" i="8"/>
  <c r="CB49" i="8"/>
  <c r="CH48" i="8"/>
  <c r="CH20" i="8"/>
  <c r="CB10" i="8"/>
  <c r="CH30" i="8"/>
  <c r="CH32" i="8"/>
  <c r="CB29" i="8"/>
  <c r="CH36" i="8"/>
  <c r="CH26" i="8"/>
  <c r="CH51" i="8"/>
  <c r="CB50" i="8"/>
  <c r="CB44" i="8"/>
  <c r="CH42" i="8"/>
  <c r="CB48" i="8"/>
  <c r="CH45" i="8"/>
  <c r="CB45" i="8"/>
  <c r="CB47" i="8"/>
  <c r="CB51" i="8"/>
  <c r="CH10" i="8"/>
  <c r="CH47" i="8"/>
  <c r="CH46" i="8"/>
  <c r="BP55" i="9"/>
  <c r="BP53" i="9"/>
  <c r="BP51" i="9"/>
  <c r="BP57" i="9"/>
  <c r="BP79" i="9"/>
  <c r="BP89" i="9"/>
  <c r="BP87" i="9"/>
  <c r="BP83" i="9"/>
  <c r="BP85" i="9"/>
  <c r="BP81" i="9"/>
  <c r="BP75" i="9"/>
  <c r="BP77" i="9"/>
  <c r="BP69" i="9"/>
  <c r="BP61" i="9"/>
  <c r="BP67" i="9"/>
  <c r="BP63" i="9"/>
  <c r="BP71" i="9"/>
  <c r="BP65" i="9"/>
  <c r="BP45" i="9"/>
  <c r="BP41" i="9"/>
  <c r="BP25" i="9"/>
  <c r="BP59" i="9"/>
  <c r="BP47" i="9"/>
  <c r="BP43" i="9"/>
  <c r="BP49" i="9"/>
  <c r="BP73" i="9"/>
  <c r="BQ3" i="9"/>
  <c r="BP23" i="9"/>
  <c r="BP21" i="9"/>
  <c r="BP19" i="9"/>
  <c r="BP17" i="9"/>
  <c r="BP5" i="9"/>
  <c r="BP13" i="9"/>
  <c r="BP7" i="9"/>
  <c r="BP15" i="9"/>
  <c r="BP9" i="9"/>
  <c r="BP11" i="9"/>
  <c r="BQ53" i="9" l="1"/>
  <c r="BQ51" i="9"/>
  <c r="BQ57" i="9"/>
  <c r="BQ55" i="9"/>
  <c r="BQ79" i="9"/>
  <c r="BQ85" i="9"/>
  <c r="BQ81" i="9"/>
  <c r="BQ83" i="9"/>
  <c r="BQ87" i="9"/>
  <c r="BQ75" i="9"/>
  <c r="BQ89" i="9"/>
  <c r="BQ77" i="9"/>
  <c r="BQ67" i="9"/>
  <c r="BQ65" i="9"/>
  <c r="BQ63" i="9"/>
  <c r="BQ61" i="9"/>
  <c r="BQ71" i="9"/>
  <c r="BQ69" i="9"/>
  <c r="BQ49" i="9"/>
  <c r="BQ45" i="9"/>
  <c r="BQ73" i="9"/>
  <c r="BQ41" i="9"/>
  <c r="BQ59" i="9"/>
  <c r="BQ47" i="9"/>
  <c r="BQ25" i="9"/>
  <c r="BQ43" i="9"/>
  <c r="BR3" i="9"/>
  <c r="BQ21" i="9"/>
  <c r="BQ19" i="9"/>
  <c r="BQ23" i="9"/>
  <c r="BQ17" i="9"/>
  <c r="BQ15" i="9"/>
  <c r="BQ13" i="9"/>
  <c r="BQ9" i="9"/>
  <c r="BQ11" i="9"/>
  <c r="BQ5" i="9"/>
  <c r="BQ7" i="9"/>
  <c r="BR57" i="9" l="1"/>
  <c r="BR55" i="9"/>
  <c r="BR51" i="9"/>
  <c r="BR53" i="9"/>
  <c r="BR75" i="9"/>
  <c r="BR89" i="9"/>
  <c r="BR81" i="9"/>
  <c r="BR87" i="9"/>
  <c r="BR83" i="9"/>
  <c r="BR79" i="9"/>
  <c r="BR77" i="9"/>
  <c r="BR85" i="9"/>
  <c r="BR65" i="9"/>
  <c r="BR63" i="9"/>
  <c r="BR61" i="9"/>
  <c r="BR71" i="9"/>
  <c r="BR69" i="9"/>
  <c r="BR67" i="9"/>
  <c r="BR41" i="9"/>
  <c r="BR49" i="9"/>
  <c r="BR45" i="9"/>
  <c r="BR25" i="9"/>
  <c r="BR47" i="9"/>
  <c r="BR43" i="9"/>
  <c r="BR59" i="9"/>
  <c r="BR73" i="9"/>
  <c r="BS3" i="9"/>
  <c r="BR19" i="9"/>
  <c r="BR23" i="9"/>
  <c r="BR21" i="9"/>
  <c r="BR17" i="9"/>
  <c r="BR15" i="9"/>
  <c r="BR13" i="9"/>
  <c r="BR9" i="9"/>
  <c r="BR11" i="9"/>
  <c r="BR7" i="9"/>
  <c r="BR5" i="9"/>
  <c r="BS57" i="9" l="1"/>
  <c r="BS55" i="9"/>
  <c r="BS51" i="9"/>
  <c r="BS53" i="9"/>
  <c r="BS85" i="9"/>
  <c r="BS81" i="9"/>
  <c r="BS79" i="9"/>
  <c r="BS75" i="9"/>
  <c r="BS87" i="9"/>
  <c r="BS83" i="9"/>
  <c r="BS89" i="9"/>
  <c r="BS77" i="9"/>
  <c r="BS71" i="9"/>
  <c r="BS63" i="9"/>
  <c r="BS69" i="9"/>
  <c r="BS67" i="9"/>
  <c r="BS65" i="9"/>
  <c r="BS61" i="9"/>
  <c r="BS25" i="9"/>
  <c r="BS43" i="9"/>
  <c r="BS41" i="9"/>
  <c r="BS45" i="9"/>
  <c r="BS73" i="9"/>
  <c r="BS47" i="9"/>
  <c r="BS59" i="9"/>
  <c r="BS49" i="9"/>
  <c r="BT3" i="9"/>
  <c r="BS17" i="9"/>
  <c r="BS13" i="9"/>
  <c r="BS23" i="9"/>
  <c r="BS19" i="9"/>
  <c r="BS11" i="9"/>
  <c r="BS7" i="9"/>
  <c r="BS21" i="9"/>
  <c r="BS15" i="9"/>
  <c r="BS5" i="9"/>
  <c r="BS9" i="9"/>
  <c r="BT55" i="9" l="1"/>
  <c r="BT53" i="9"/>
  <c r="BT57" i="9"/>
  <c r="BT51" i="9"/>
  <c r="BT87" i="9"/>
  <c r="BT85" i="9"/>
  <c r="BT83" i="9"/>
  <c r="BT79" i="9"/>
  <c r="BT75" i="9"/>
  <c r="BT89" i="9"/>
  <c r="BT81" i="9"/>
  <c r="BT77" i="9"/>
  <c r="BT69" i="9"/>
  <c r="BT61" i="9"/>
  <c r="BT71" i="9"/>
  <c r="BT65" i="9"/>
  <c r="BT67" i="9"/>
  <c r="BT63" i="9"/>
  <c r="BT25" i="9"/>
  <c r="BT59" i="9"/>
  <c r="BT49" i="9"/>
  <c r="BT45" i="9"/>
  <c r="BT73" i="9"/>
  <c r="BT47" i="9"/>
  <c r="BT43" i="9"/>
  <c r="BT41" i="9"/>
  <c r="BU3" i="9"/>
  <c r="BT23" i="9"/>
  <c r="BT19" i="9"/>
  <c r="BT21" i="9"/>
  <c r="BT15" i="9"/>
  <c r="BT11" i="9"/>
  <c r="BT5" i="9"/>
  <c r="BT17" i="9"/>
  <c r="BT7" i="9"/>
  <c r="BT13" i="9"/>
  <c r="BT9" i="9"/>
  <c r="BU53" i="9" l="1"/>
  <c r="BU51" i="9"/>
  <c r="BU57" i="9"/>
  <c r="BU55" i="9"/>
  <c r="BU83" i="9"/>
  <c r="BU79" i="9"/>
  <c r="BU85" i="9"/>
  <c r="BU87" i="9"/>
  <c r="BU75" i="9"/>
  <c r="BU81" i="9"/>
  <c r="BU89" i="9"/>
  <c r="BU77" i="9"/>
  <c r="BU67" i="9"/>
  <c r="BU65" i="9"/>
  <c r="BU69" i="9"/>
  <c r="BU63" i="9"/>
  <c r="BU71" i="9"/>
  <c r="BU61" i="9"/>
  <c r="BU49" i="9"/>
  <c r="BU59" i="9"/>
  <c r="BU45" i="9"/>
  <c r="BU47" i="9"/>
  <c r="BU25" i="9"/>
  <c r="BU73" i="9"/>
  <c r="BU41" i="9"/>
  <c r="BU43" i="9"/>
  <c r="BV3" i="9"/>
  <c r="BU21" i="9"/>
  <c r="BU19" i="9"/>
  <c r="BU17" i="9"/>
  <c r="BU23" i="9"/>
  <c r="BU15" i="9"/>
  <c r="BU9" i="9"/>
  <c r="BU11" i="9"/>
  <c r="BU5" i="9"/>
  <c r="BU13" i="9"/>
  <c r="BU7" i="9"/>
  <c r="BV57" i="9" l="1"/>
  <c r="BV51" i="9"/>
  <c r="BV55" i="9"/>
  <c r="BV53" i="9"/>
  <c r="BV83" i="9"/>
  <c r="BV89" i="9"/>
  <c r="BV87" i="9"/>
  <c r="BV75" i="9"/>
  <c r="BV81" i="9"/>
  <c r="BV79" i="9"/>
  <c r="BV85" i="9"/>
  <c r="BV77" i="9"/>
  <c r="BV65" i="9"/>
  <c r="BV63" i="9"/>
  <c r="BV61" i="9"/>
  <c r="BV69" i="9"/>
  <c r="BV71" i="9"/>
  <c r="BV67" i="9"/>
  <c r="BV59" i="9"/>
  <c r="BV49" i="9"/>
  <c r="BV25" i="9"/>
  <c r="BV47" i="9"/>
  <c r="BV43" i="9"/>
  <c r="BV73" i="9"/>
  <c r="BV45" i="9"/>
  <c r="BV41" i="9"/>
  <c r="BW3" i="9"/>
  <c r="BV19" i="9"/>
  <c r="BV23" i="9"/>
  <c r="BV21" i="9"/>
  <c r="BV15" i="9"/>
  <c r="BV13" i="9"/>
  <c r="BV17" i="9"/>
  <c r="BV9" i="9"/>
  <c r="BV7" i="9"/>
  <c r="BV11" i="9"/>
  <c r="BV5" i="9"/>
  <c r="BW57" i="9" l="1"/>
  <c r="BW55" i="9"/>
  <c r="BW53" i="9"/>
  <c r="BW51" i="9"/>
  <c r="BW79" i="9"/>
  <c r="BW89" i="9"/>
  <c r="BW85" i="9"/>
  <c r="BW83" i="9"/>
  <c r="BW87" i="9"/>
  <c r="BW75" i="9"/>
  <c r="BW81" i="9"/>
  <c r="BW77" i="9"/>
  <c r="BW71" i="9"/>
  <c r="BW63" i="9"/>
  <c r="BW61" i="9"/>
  <c r="BW69" i="9"/>
  <c r="BW67" i="9"/>
  <c r="BW65" i="9"/>
  <c r="BW25" i="9"/>
  <c r="BW73" i="9"/>
  <c r="BW49" i="9"/>
  <c r="BW45" i="9"/>
  <c r="BW47" i="9"/>
  <c r="BW59" i="9"/>
  <c r="BW43" i="9"/>
  <c r="BW41" i="9"/>
  <c r="BX3" i="9"/>
  <c r="BW17" i="9"/>
  <c r="BW23" i="9"/>
  <c r="BW21" i="9"/>
  <c r="BW19" i="9"/>
  <c r="BW13" i="9"/>
  <c r="BW11" i="9"/>
  <c r="BW7" i="9"/>
  <c r="BW5" i="9"/>
  <c r="BW15" i="9"/>
  <c r="BW9" i="9"/>
  <c r="BX55" i="9" l="1"/>
  <c r="BX53" i="9"/>
  <c r="BX51" i="9"/>
  <c r="BX57" i="9"/>
  <c r="BX83" i="9"/>
  <c r="BX75" i="9"/>
  <c r="BX85" i="9"/>
  <c r="BX87" i="9"/>
  <c r="BX81" i="9"/>
  <c r="BX77" i="9"/>
  <c r="BX79" i="9"/>
  <c r="BX89" i="9"/>
  <c r="BX69" i="9"/>
  <c r="BX61" i="9"/>
  <c r="BX67" i="9"/>
  <c r="BX65" i="9"/>
  <c r="BX63" i="9"/>
  <c r="BX71" i="9"/>
  <c r="BX25" i="9"/>
  <c r="BX59" i="9"/>
  <c r="BX43" i="9"/>
  <c r="BX49" i="9"/>
  <c r="BX73" i="9"/>
  <c r="BX47" i="9"/>
  <c r="BX45" i="9"/>
  <c r="BX41" i="9"/>
  <c r="BY3" i="9"/>
  <c r="BX23" i="9"/>
  <c r="BX21" i="9"/>
  <c r="BX17" i="9"/>
  <c r="BX5" i="9"/>
  <c r="BX13" i="9"/>
  <c r="BX11" i="9"/>
  <c r="BX7" i="9"/>
  <c r="BX9" i="9"/>
  <c r="BX19" i="9"/>
  <c r="BX15" i="9"/>
  <c r="BY53" i="9" l="1"/>
  <c r="BY51" i="9"/>
  <c r="BY55" i="9"/>
  <c r="BY57" i="9"/>
  <c r="BY87" i="9"/>
  <c r="BY85" i="9"/>
  <c r="BY83" i="9"/>
  <c r="BY75" i="9"/>
  <c r="BY81" i="9"/>
  <c r="BY79" i="9"/>
  <c r="BY89" i="9"/>
  <c r="BY77" i="9"/>
  <c r="BY67" i="9"/>
  <c r="BY71" i="9"/>
  <c r="BY69" i="9"/>
  <c r="BY63" i="9"/>
  <c r="BY65" i="9"/>
  <c r="BY61" i="9"/>
  <c r="BY25" i="9"/>
  <c r="BY59" i="9"/>
  <c r="BY45" i="9"/>
  <c r="BY49" i="9"/>
  <c r="BY47" i="9"/>
  <c r="BY43" i="9"/>
  <c r="BY73" i="9"/>
  <c r="BY41" i="9"/>
  <c r="BZ3" i="9"/>
  <c r="BY21" i="9"/>
  <c r="BY17" i="9"/>
  <c r="BY15" i="9"/>
  <c r="BY13" i="9"/>
  <c r="BY11" i="9"/>
  <c r="BY23" i="9"/>
  <c r="BY9" i="9"/>
  <c r="BY19" i="9"/>
  <c r="BY5" i="9"/>
  <c r="BY7" i="9"/>
  <c r="BZ51" i="9" l="1"/>
  <c r="BZ57" i="9"/>
  <c r="BZ55" i="9"/>
  <c r="BZ53" i="9"/>
  <c r="BZ89" i="9"/>
  <c r="BZ79" i="9"/>
  <c r="BZ85" i="9"/>
  <c r="BZ87" i="9"/>
  <c r="BZ75" i="9"/>
  <c r="BZ77" i="9"/>
  <c r="BZ83" i="9"/>
  <c r="BZ81" i="9"/>
  <c r="BZ65" i="9"/>
  <c r="BZ71" i="9"/>
  <c r="BZ67" i="9"/>
  <c r="BZ61" i="9"/>
  <c r="BZ69" i="9"/>
  <c r="BZ63" i="9"/>
  <c r="BZ45" i="9"/>
  <c r="BZ49" i="9"/>
  <c r="BZ25" i="9"/>
  <c r="BZ73" i="9"/>
  <c r="BZ41" i="9"/>
  <c r="BZ59" i="9"/>
  <c r="BZ47" i="9"/>
  <c r="BZ43" i="9"/>
  <c r="CA3" i="9"/>
  <c r="BZ19" i="9"/>
  <c r="BZ17" i="9"/>
  <c r="BZ21" i="9"/>
  <c r="BZ15" i="9"/>
  <c r="BZ13" i="9"/>
  <c r="BZ23" i="9"/>
  <c r="BZ9" i="9"/>
  <c r="BZ7" i="9"/>
  <c r="BZ5" i="9"/>
  <c r="BZ11" i="9"/>
  <c r="CA57" i="9" l="1"/>
  <c r="CA55" i="9"/>
  <c r="CA53" i="9"/>
  <c r="CA51" i="9"/>
  <c r="CA89" i="9"/>
  <c r="CA85" i="9"/>
  <c r="CA87" i="9"/>
  <c r="CA83" i="9"/>
  <c r="CA79" i="9"/>
  <c r="CA81" i="9"/>
  <c r="CA77" i="9"/>
  <c r="CA75" i="9"/>
  <c r="CA71" i="9"/>
  <c r="CA63" i="9"/>
  <c r="CA61" i="9"/>
  <c r="CA69" i="9"/>
  <c r="CA65" i="9"/>
  <c r="CA67" i="9"/>
  <c r="CA25" i="9"/>
  <c r="CA59" i="9"/>
  <c r="CA49" i="9"/>
  <c r="CA45" i="9"/>
  <c r="CA47" i="9"/>
  <c r="CA43" i="9"/>
  <c r="CA41" i="9"/>
  <c r="CA73" i="9"/>
  <c r="CB3" i="9"/>
  <c r="CA17" i="9"/>
  <c r="CA23" i="9"/>
  <c r="CA21" i="9"/>
  <c r="CA19" i="9"/>
  <c r="CA13" i="9"/>
  <c r="CA11" i="9"/>
  <c r="CA7" i="9"/>
  <c r="CA15" i="9"/>
  <c r="CA5" i="9"/>
  <c r="CA9" i="9"/>
  <c r="CB55" i="9" l="1"/>
  <c r="CB53" i="9"/>
  <c r="CB51" i="9"/>
  <c r="CB57" i="9"/>
  <c r="CB87" i="9"/>
  <c r="CB75" i="9"/>
  <c r="CB81" i="9"/>
  <c r="CB79" i="9"/>
  <c r="CB89" i="9"/>
  <c r="CB77" i="9"/>
  <c r="CB83" i="9"/>
  <c r="CB85" i="9"/>
  <c r="CB69" i="9"/>
  <c r="CB61" i="9"/>
  <c r="CB67" i="9"/>
  <c r="CB65" i="9"/>
  <c r="CB63" i="9"/>
  <c r="CB71" i="9"/>
  <c r="CB25" i="9"/>
  <c r="CB49" i="9"/>
  <c r="CB45" i="9"/>
  <c r="CB59" i="9"/>
  <c r="CB47" i="9"/>
  <c r="CB73" i="9"/>
  <c r="CB43" i="9"/>
  <c r="CB41" i="9"/>
  <c r="CC3" i="9"/>
  <c r="CB23" i="9"/>
  <c r="CB21" i="9"/>
  <c r="CB19" i="9"/>
  <c r="CB15" i="9"/>
  <c r="CB5" i="9"/>
  <c r="CB17" i="9"/>
  <c r="CB13" i="9"/>
  <c r="CB11" i="9"/>
  <c r="CB7" i="9"/>
  <c r="CB9" i="9"/>
  <c r="CC53" i="9" l="1"/>
  <c r="CC51" i="9"/>
  <c r="CC57" i="9"/>
  <c r="CC55" i="9"/>
  <c r="CC75" i="9"/>
  <c r="CC87" i="9"/>
  <c r="CC77" i="9"/>
  <c r="CC79" i="9"/>
  <c r="CC89" i="9"/>
  <c r="CC81" i="9"/>
  <c r="CC83" i="9"/>
  <c r="CC85" i="9"/>
  <c r="CC67" i="9"/>
  <c r="CC65" i="9"/>
  <c r="CC63" i="9"/>
  <c r="CC61" i="9"/>
  <c r="CC71" i="9"/>
  <c r="CC69" i="9"/>
  <c r="CC59" i="9"/>
  <c r="CC45" i="9"/>
  <c r="CC49" i="9"/>
  <c r="CC43" i="9"/>
  <c r="CC41" i="9"/>
  <c r="CC25" i="9"/>
  <c r="CC47" i="9"/>
  <c r="CC73" i="9"/>
  <c r="CD3" i="9"/>
  <c r="CC21" i="9"/>
  <c r="CC23" i="9"/>
  <c r="CC19" i="9"/>
  <c r="CC15" i="9"/>
  <c r="CC11" i="9"/>
  <c r="CC9" i="9"/>
  <c r="CC17" i="9"/>
  <c r="CC5" i="9"/>
  <c r="CC7" i="9"/>
  <c r="CC13" i="9"/>
  <c r="CD51" i="9" l="1"/>
  <c r="CD57" i="9"/>
  <c r="CD53" i="9"/>
  <c r="CD55" i="9"/>
  <c r="CD83" i="9"/>
  <c r="CD79" i="9"/>
  <c r="CD85" i="9"/>
  <c r="CD81" i="9"/>
  <c r="CD87" i="9"/>
  <c r="CD75" i="9"/>
  <c r="CD89" i="9"/>
  <c r="CD77" i="9"/>
  <c r="CD65" i="9"/>
  <c r="CD71" i="9"/>
  <c r="CD69" i="9"/>
  <c r="CD67" i="9"/>
  <c r="CD61" i="9"/>
  <c r="CD63" i="9"/>
  <c r="CD25" i="9"/>
  <c r="CD49" i="9"/>
  <c r="CD45" i="9"/>
  <c r="CD73" i="9"/>
  <c r="CD59" i="9"/>
  <c r="CD41" i="9"/>
  <c r="CD47" i="9"/>
  <c r="CD43" i="9"/>
  <c r="CE3" i="9"/>
  <c r="CD19" i="9"/>
  <c r="CD15" i="9"/>
  <c r="CD23" i="9"/>
  <c r="CD17" i="9"/>
  <c r="CD13" i="9"/>
  <c r="CD11" i="9"/>
  <c r="CD9" i="9"/>
  <c r="CD7" i="9"/>
  <c r="CD5" i="9"/>
  <c r="CD21" i="9"/>
  <c r="CE57" i="9" l="1"/>
  <c r="CE55" i="9"/>
  <c r="CE53" i="9"/>
  <c r="CE51" i="9"/>
  <c r="CE83" i="9"/>
  <c r="CE81" i="9"/>
  <c r="CE75" i="9"/>
  <c r="CE89" i="9"/>
  <c r="CE87" i="9"/>
  <c r="CE85" i="9"/>
  <c r="CE77" i="9"/>
  <c r="CE79" i="9"/>
  <c r="CE71" i="9"/>
  <c r="CE63" i="9"/>
  <c r="CE69" i="9"/>
  <c r="CE65" i="9"/>
  <c r="CE67" i="9"/>
  <c r="CE61" i="9"/>
  <c r="CE59" i="9"/>
  <c r="CE49" i="9"/>
  <c r="CE45" i="9"/>
  <c r="CE41" i="9"/>
  <c r="CE25" i="9"/>
  <c r="CE73" i="9"/>
  <c r="CE43" i="9"/>
  <c r="CE47" i="9"/>
  <c r="CF3" i="9"/>
  <c r="CE17" i="9"/>
  <c r="CE23" i="9"/>
  <c r="CE19" i="9"/>
  <c r="CE13" i="9"/>
  <c r="CE11" i="9"/>
  <c r="CE7" i="9"/>
  <c r="CE5" i="9"/>
  <c r="CE21" i="9"/>
  <c r="CE15" i="9"/>
  <c r="CE9" i="9"/>
  <c r="CF55" i="9" l="1"/>
  <c r="CF53" i="9"/>
  <c r="CF51" i="9"/>
  <c r="CF57" i="9"/>
  <c r="CF87" i="9"/>
  <c r="CF79" i="9"/>
  <c r="CF89" i="9"/>
  <c r="CF81" i="9"/>
  <c r="CF77" i="9"/>
  <c r="CF85" i="9"/>
  <c r="CF83" i="9"/>
  <c r="CF75" i="9"/>
  <c r="CF69" i="9"/>
  <c r="CF61" i="9"/>
  <c r="CF67" i="9"/>
  <c r="CF63" i="9"/>
  <c r="CF71" i="9"/>
  <c r="CF65" i="9"/>
  <c r="CF25" i="9"/>
  <c r="CF45" i="9"/>
  <c r="CF49" i="9"/>
  <c r="CF73" i="9"/>
  <c r="CF47" i="9"/>
  <c r="CF41" i="9"/>
  <c r="CF59" i="9"/>
  <c r="CF43" i="9"/>
  <c r="CG3" i="9"/>
  <c r="CF23" i="9"/>
  <c r="CF21" i="9"/>
  <c r="CF19" i="9"/>
  <c r="CF17" i="9"/>
  <c r="CF5" i="9"/>
  <c r="CF13" i="9"/>
  <c r="CF11" i="9"/>
  <c r="CF7" i="9"/>
  <c r="CF15" i="9"/>
  <c r="CF9" i="9"/>
  <c r="CG53" i="9" l="1"/>
  <c r="CG51" i="9"/>
  <c r="CG57" i="9"/>
  <c r="CG55" i="9"/>
  <c r="CG85" i="9"/>
  <c r="CG81" i="9"/>
  <c r="CG89" i="9"/>
  <c r="CG83" i="9"/>
  <c r="CG77" i="9"/>
  <c r="CG87" i="9"/>
  <c r="CG79" i="9"/>
  <c r="CG75" i="9"/>
  <c r="CG67" i="9"/>
  <c r="CG65" i="9"/>
  <c r="CG63" i="9"/>
  <c r="CG61" i="9"/>
  <c r="CG69" i="9"/>
  <c r="CG71" i="9"/>
  <c r="CG45" i="9"/>
  <c r="CG59" i="9"/>
  <c r="CG49" i="9"/>
  <c r="CG73" i="9"/>
  <c r="CG43" i="9"/>
  <c r="CG25" i="9"/>
  <c r="CG41" i="9"/>
  <c r="CG47" i="9"/>
  <c r="CH3" i="9"/>
  <c r="CG21" i="9"/>
  <c r="CG19" i="9"/>
  <c r="CG23" i="9"/>
  <c r="CG17" i="9"/>
  <c r="CG15" i="9"/>
  <c r="CG13" i="9"/>
  <c r="CG9" i="9"/>
  <c r="CG5" i="9"/>
  <c r="CG11" i="9"/>
  <c r="CG7" i="9"/>
  <c r="CH51" i="9" l="1"/>
  <c r="CH57" i="9"/>
  <c r="CH55" i="9"/>
  <c r="CH53" i="9"/>
  <c r="CH79" i="9"/>
  <c r="CH75" i="9"/>
  <c r="CH81" i="9"/>
  <c r="CH87" i="9"/>
  <c r="CH83" i="9"/>
  <c r="CH89" i="9"/>
  <c r="CH85" i="9"/>
  <c r="CH77" i="9"/>
  <c r="CH65" i="9"/>
  <c r="CH63" i="9"/>
  <c r="CH61" i="9"/>
  <c r="CH71" i="9"/>
  <c r="CH69" i="9"/>
  <c r="CH67" i="9"/>
  <c r="CH25" i="9"/>
  <c r="CH45" i="9"/>
  <c r="CH47" i="9"/>
  <c r="CH41" i="9"/>
  <c r="CH73" i="9"/>
  <c r="CH43" i="9"/>
  <c r="CH59" i="9"/>
  <c r="CH49" i="9"/>
  <c r="CI3" i="9"/>
  <c r="CH19" i="9"/>
  <c r="CH23" i="9"/>
  <c r="CH21" i="9"/>
  <c r="CH15" i="9"/>
  <c r="CH13" i="9"/>
  <c r="CH9" i="9"/>
  <c r="CH17" i="9"/>
  <c r="CH11" i="9"/>
  <c r="CH7" i="9"/>
  <c r="CH5" i="9"/>
  <c r="CI57" i="9" l="1"/>
  <c r="CI55" i="9"/>
  <c r="CI51" i="9"/>
  <c r="CI53" i="9"/>
  <c r="CI87" i="9"/>
  <c r="CI81" i="9"/>
  <c r="CI79" i="9"/>
  <c r="CI75" i="9"/>
  <c r="CI85" i="9"/>
  <c r="CI89" i="9"/>
  <c r="CI77" i="9"/>
  <c r="CI83" i="9"/>
  <c r="CI71" i="9"/>
  <c r="CI63" i="9"/>
  <c r="CI69" i="9"/>
  <c r="CI67" i="9"/>
  <c r="CI65" i="9"/>
  <c r="CI61" i="9"/>
  <c r="CI49" i="9"/>
  <c r="CI45" i="9"/>
  <c r="CI43" i="9"/>
  <c r="CI41" i="9"/>
  <c r="CI59" i="9"/>
  <c r="CI25" i="9"/>
  <c r="CI73" i="9"/>
  <c r="CI47" i="9"/>
  <c r="CJ3" i="9"/>
  <c r="CI17" i="9"/>
  <c r="CI13" i="9"/>
  <c r="CI21" i="9"/>
  <c r="CI11" i="9"/>
  <c r="CI7" i="9"/>
  <c r="CI19" i="9"/>
  <c r="CI15" i="9"/>
  <c r="CI5" i="9"/>
  <c r="CI23" i="9"/>
  <c r="CI9" i="9"/>
  <c r="CJ55" i="9" l="1"/>
  <c r="CJ53" i="9"/>
  <c r="CJ51" i="9"/>
  <c r="CJ57" i="9"/>
  <c r="CJ87" i="9"/>
  <c r="CJ85" i="9"/>
  <c r="CJ77" i="9"/>
  <c r="CJ79" i="9"/>
  <c r="CJ75" i="9"/>
  <c r="CJ89" i="9"/>
  <c r="CJ83" i="9"/>
  <c r="CJ81" i="9"/>
  <c r="CJ69" i="9"/>
  <c r="CJ61" i="9"/>
  <c r="CJ71" i="9"/>
  <c r="CJ67" i="9"/>
  <c r="CJ63" i="9"/>
  <c r="CJ65" i="9"/>
  <c r="CJ59" i="9"/>
  <c r="CJ41" i="9"/>
  <c r="CJ43" i="9"/>
  <c r="CJ45" i="9"/>
  <c r="CJ73" i="9"/>
  <c r="CJ47" i="9"/>
  <c r="CJ49" i="9"/>
  <c r="CJ25" i="9"/>
  <c r="CK3" i="9"/>
  <c r="CJ23" i="9"/>
  <c r="CJ21" i="9"/>
  <c r="CJ19" i="9"/>
  <c r="CJ17" i="9"/>
  <c r="CJ15" i="9"/>
  <c r="CJ11" i="9"/>
  <c r="CJ5" i="9"/>
  <c r="CJ7" i="9"/>
  <c r="CJ9" i="9"/>
  <c r="CJ13" i="9"/>
  <c r="CK53" i="9" l="1"/>
  <c r="CK51" i="9"/>
  <c r="CK57" i="9"/>
  <c r="CK55" i="9"/>
  <c r="CK87" i="9"/>
  <c r="CK89" i="9"/>
  <c r="CK83" i="9"/>
  <c r="CK85" i="9"/>
  <c r="CK81" i="9"/>
  <c r="CK77" i="9"/>
  <c r="CK79" i="9"/>
  <c r="CK75" i="9"/>
  <c r="CK67" i="9"/>
  <c r="CK71" i="9"/>
  <c r="CK65" i="9"/>
  <c r="CK61" i="9"/>
  <c r="CK69" i="9"/>
  <c r="CK63" i="9"/>
  <c r="CK49" i="9"/>
  <c r="CK25" i="9"/>
  <c r="CK59" i="9"/>
  <c r="CK73" i="9"/>
  <c r="CK47" i="9"/>
  <c r="CK43" i="9"/>
  <c r="CK45" i="9"/>
  <c r="CK41" i="9"/>
  <c r="CL3" i="9"/>
  <c r="CK21" i="9"/>
  <c r="CK19" i="9"/>
  <c r="CK17" i="9"/>
  <c r="CK15" i="9"/>
  <c r="CK9" i="9"/>
  <c r="CK23" i="9"/>
  <c r="CK5" i="9"/>
  <c r="CK13" i="9"/>
  <c r="CK7" i="9"/>
  <c r="CK11" i="9"/>
  <c r="CL51" i="9" l="1"/>
  <c r="CL57" i="9"/>
  <c r="CL55" i="9"/>
  <c r="CL53" i="9"/>
  <c r="CL87" i="9"/>
  <c r="CL75" i="9"/>
  <c r="CL81" i="9"/>
  <c r="CL79" i="9"/>
  <c r="CL83" i="9"/>
  <c r="CL85" i="9"/>
  <c r="CL89" i="9"/>
  <c r="CL77" i="9"/>
  <c r="CL65" i="9"/>
  <c r="CL63" i="9"/>
  <c r="CL61" i="9"/>
  <c r="CL71" i="9"/>
  <c r="CL67" i="9"/>
  <c r="CL69" i="9"/>
  <c r="CL59" i="9"/>
  <c r="CL49" i="9"/>
  <c r="CL45" i="9"/>
  <c r="CL25" i="9"/>
  <c r="CL73" i="9"/>
  <c r="CL47" i="9"/>
  <c r="CL43" i="9"/>
  <c r="CL41" i="9"/>
  <c r="CM3" i="9"/>
  <c r="CL19" i="9"/>
  <c r="CL23" i="9"/>
  <c r="CL21" i="9"/>
  <c r="CL17" i="9"/>
  <c r="CL15" i="9"/>
  <c r="CL13" i="9"/>
  <c r="CL9" i="9"/>
  <c r="CL7" i="9"/>
  <c r="CL11" i="9"/>
  <c r="CL5" i="9"/>
  <c r="CM57" i="9" l="1"/>
  <c r="CM55" i="9"/>
  <c r="CM53" i="9"/>
  <c r="CM51" i="9"/>
  <c r="CM87" i="9"/>
  <c r="CM79" i="9"/>
  <c r="CM75" i="9"/>
  <c r="CM89" i="9"/>
  <c r="CM85" i="9"/>
  <c r="CM77" i="9"/>
  <c r="CM83" i="9"/>
  <c r="CM81" i="9"/>
  <c r="CM71" i="9"/>
  <c r="CM63" i="9"/>
  <c r="CM61" i="9"/>
  <c r="CM69" i="9"/>
  <c r="CM67" i="9"/>
  <c r="CM65" i="9"/>
  <c r="CM25" i="9"/>
  <c r="CM49" i="9"/>
  <c r="CM59" i="9"/>
  <c r="CM45" i="9"/>
  <c r="CM73" i="9"/>
  <c r="CM43" i="9"/>
  <c r="CM47" i="9"/>
  <c r="CM41" i="9"/>
  <c r="CN3" i="9"/>
  <c r="CM17" i="9"/>
  <c r="CM23" i="9"/>
  <c r="CM21" i="9"/>
  <c r="CM19" i="9"/>
  <c r="CM15" i="9"/>
  <c r="CM13" i="9"/>
  <c r="CM11" i="9"/>
  <c r="CM7" i="9"/>
  <c r="CM5" i="9"/>
  <c r="CM9" i="9"/>
  <c r="CN55" i="9" l="1"/>
  <c r="CN53" i="9"/>
  <c r="CN51" i="9"/>
  <c r="CN57" i="9"/>
  <c r="CN85" i="9"/>
  <c r="CN83" i="9"/>
  <c r="CN81" i="9"/>
  <c r="CN87" i="9"/>
  <c r="CN79" i="9"/>
  <c r="CN89" i="9"/>
  <c r="CN75" i="9"/>
  <c r="CN77" i="9"/>
  <c r="CN69" i="9"/>
  <c r="CN61" i="9"/>
  <c r="CN67" i="9"/>
  <c r="CN65" i="9"/>
  <c r="CN63" i="9"/>
  <c r="CN71" i="9"/>
  <c r="CN25" i="9"/>
  <c r="CN59" i="9"/>
  <c r="CN49" i="9"/>
  <c r="CN47" i="9"/>
  <c r="CN45" i="9"/>
  <c r="CN73" i="9"/>
  <c r="CN41" i="9"/>
  <c r="CN43" i="9"/>
  <c r="CO3" i="9"/>
  <c r="CN23" i="9"/>
  <c r="CN17" i="9"/>
  <c r="CN19" i="9"/>
  <c r="CN5" i="9"/>
  <c r="CN21" i="9"/>
  <c r="CN13" i="9"/>
  <c r="CN11" i="9"/>
  <c r="CN15" i="9"/>
  <c r="CN7" i="9"/>
  <c r="CN9" i="9"/>
  <c r="CO53" i="9" l="1"/>
  <c r="CO51" i="9"/>
  <c r="CO57" i="9"/>
  <c r="CO55" i="9"/>
  <c r="CO87" i="9"/>
  <c r="CO81" i="9"/>
  <c r="CO75" i="9"/>
  <c r="CO85" i="9"/>
  <c r="CO83" i="9"/>
  <c r="CO79" i="9"/>
  <c r="CO77" i="9"/>
  <c r="CO89" i="9"/>
  <c r="CO67" i="9"/>
  <c r="CO71" i="9"/>
  <c r="CO69" i="9"/>
  <c r="CO65" i="9"/>
  <c r="CO61" i="9"/>
  <c r="CO63" i="9"/>
  <c r="CO25" i="9"/>
  <c r="CO45" i="9"/>
  <c r="CO59" i="9"/>
  <c r="CO73" i="9"/>
  <c r="CO43" i="9"/>
  <c r="CO41" i="9"/>
  <c r="CO47" i="9"/>
  <c r="CO49" i="9"/>
  <c r="CP3" i="9"/>
  <c r="CO21" i="9"/>
  <c r="CO15" i="9"/>
  <c r="CO19" i="9"/>
  <c r="CO23" i="9"/>
  <c r="CO13" i="9"/>
  <c r="CO11" i="9"/>
  <c r="CO9" i="9"/>
  <c r="CO7" i="9"/>
  <c r="CO5" i="9"/>
  <c r="CO17" i="9"/>
  <c r="CP51" i="9" l="1"/>
  <c r="CP57" i="9"/>
  <c r="CP55" i="9"/>
  <c r="CP53" i="9"/>
  <c r="CP87" i="9"/>
  <c r="CP75" i="9"/>
  <c r="CP89" i="9"/>
  <c r="CP85" i="9"/>
  <c r="CP83" i="9"/>
  <c r="CP81" i="9"/>
  <c r="CP77" i="9"/>
  <c r="CP79" i="9"/>
  <c r="CP65" i="9"/>
  <c r="CP69" i="9"/>
  <c r="CP63" i="9"/>
  <c r="CP71" i="9"/>
  <c r="CP67" i="9"/>
  <c r="CP61" i="9"/>
  <c r="CP49" i="9"/>
  <c r="CP45" i="9"/>
  <c r="CP47" i="9"/>
  <c r="CP43" i="9"/>
  <c r="CP73" i="9"/>
  <c r="CP59" i="9"/>
  <c r="CP41" i="9"/>
  <c r="CP25" i="9"/>
  <c r="CQ3" i="9"/>
  <c r="CP19" i="9"/>
  <c r="CP17" i="9"/>
  <c r="CP23" i="9"/>
  <c r="CP13" i="9"/>
  <c r="CP21" i="9"/>
  <c r="CP9" i="9"/>
  <c r="CP7" i="9"/>
  <c r="CP11" i="9"/>
  <c r="CP5" i="9"/>
  <c r="CP15" i="9"/>
  <c r="CQ57" i="9" l="1"/>
  <c r="CQ55" i="9"/>
  <c r="CQ53" i="9"/>
  <c r="CQ51" i="9"/>
  <c r="CQ75" i="9"/>
  <c r="CQ89" i="9"/>
  <c r="CQ83" i="9"/>
  <c r="CQ85" i="9"/>
  <c r="CQ77" i="9"/>
  <c r="CQ79" i="9"/>
  <c r="CQ81" i="9"/>
  <c r="CQ87" i="9"/>
  <c r="CQ71" i="9"/>
  <c r="CQ63" i="9"/>
  <c r="CQ61" i="9"/>
  <c r="CQ69" i="9"/>
  <c r="CQ67" i="9"/>
  <c r="CQ65" i="9"/>
  <c r="CQ59" i="9"/>
  <c r="CQ47" i="9"/>
  <c r="CQ45" i="9"/>
  <c r="CQ43" i="9"/>
  <c r="CQ25" i="9"/>
  <c r="CQ49" i="9"/>
  <c r="CQ41" i="9"/>
  <c r="CQ73" i="9"/>
  <c r="CR3" i="9"/>
  <c r="CQ17" i="9"/>
  <c r="CQ23" i="9"/>
  <c r="CQ21" i="9"/>
  <c r="CQ19" i="9"/>
  <c r="CQ13" i="9"/>
  <c r="CQ15" i="9"/>
  <c r="CQ11" i="9"/>
  <c r="CQ7" i="9"/>
  <c r="CQ5" i="9"/>
  <c r="CQ9" i="9"/>
  <c r="CR55" i="9" l="1"/>
  <c r="CR53" i="9"/>
  <c r="CR51" i="9"/>
  <c r="CR57" i="9"/>
  <c r="CR85" i="9"/>
  <c r="CR87" i="9"/>
  <c r="CR79" i="9"/>
  <c r="CR75" i="9"/>
  <c r="CR89" i="9"/>
  <c r="CR81" i="9"/>
  <c r="CR83" i="9"/>
  <c r="CR77" i="9"/>
  <c r="CR69" i="9"/>
  <c r="CR61" i="9"/>
  <c r="CR67" i="9"/>
  <c r="CR65" i="9"/>
  <c r="CR63" i="9"/>
  <c r="CR71" i="9"/>
  <c r="CR45" i="9"/>
  <c r="CR73" i="9"/>
  <c r="CR47" i="9"/>
  <c r="CR59" i="9"/>
  <c r="CR49" i="9"/>
  <c r="CR25" i="9"/>
  <c r="CR43" i="9"/>
  <c r="CR41" i="9"/>
  <c r="CS3" i="9"/>
  <c r="CR23" i="9"/>
  <c r="CR21" i="9"/>
  <c r="CR19" i="9"/>
  <c r="CR15" i="9"/>
  <c r="CR5" i="9"/>
  <c r="CR17" i="9"/>
  <c r="CR13" i="9"/>
  <c r="CR7" i="9"/>
  <c r="CR11" i="9"/>
  <c r="CR9" i="9"/>
  <c r="CS53" i="9" l="1"/>
  <c r="CS51" i="9"/>
  <c r="CS57" i="9"/>
  <c r="CS55" i="9"/>
  <c r="CS83" i="9"/>
  <c r="CS75" i="9"/>
  <c r="CS89" i="9"/>
  <c r="CS81" i="9"/>
  <c r="CS87" i="9"/>
  <c r="CS79" i="9"/>
  <c r="CS85" i="9"/>
  <c r="CS77" i="9"/>
  <c r="CS67" i="9"/>
  <c r="CS65" i="9"/>
  <c r="CS63" i="9"/>
  <c r="CS61" i="9"/>
  <c r="CS71" i="9"/>
  <c r="CS69" i="9"/>
  <c r="CS45" i="9"/>
  <c r="CS59" i="9"/>
  <c r="CS73" i="9"/>
  <c r="CS43" i="9"/>
  <c r="CS47" i="9"/>
  <c r="CS49" i="9"/>
  <c r="CS41" i="9"/>
  <c r="CS25" i="9"/>
  <c r="CT3" i="9"/>
  <c r="CS21" i="9"/>
  <c r="CS23" i="9"/>
  <c r="CS15" i="9"/>
  <c r="CS17" i="9"/>
  <c r="CS11" i="9"/>
  <c r="CS9" i="9"/>
  <c r="CS5" i="9"/>
  <c r="CS7" i="9"/>
  <c r="CS19" i="9"/>
  <c r="CS13" i="9"/>
  <c r="CT51" i="9" l="1"/>
  <c r="CT57" i="9"/>
  <c r="CT53" i="9"/>
  <c r="CT55" i="9"/>
  <c r="CT85" i="9"/>
  <c r="CT81" i="9"/>
  <c r="CT83" i="9"/>
  <c r="CT89" i="9"/>
  <c r="CT87" i="9"/>
  <c r="CT79" i="9"/>
  <c r="CT77" i="9"/>
  <c r="CT75" i="9"/>
  <c r="CT65" i="9"/>
  <c r="CT71" i="9"/>
  <c r="CT69" i="9"/>
  <c r="CT67" i="9"/>
  <c r="CT63" i="9"/>
  <c r="CT61" i="9"/>
  <c r="CT25" i="9"/>
  <c r="CT49" i="9"/>
  <c r="CT59" i="9"/>
  <c r="CT73" i="9"/>
  <c r="CT47" i="9"/>
  <c r="CT43" i="9"/>
  <c r="CT41" i="9"/>
  <c r="CT45" i="9"/>
  <c r="CU3" i="9"/>
  <c r="CT19" i="9"/>
  <c r="CT17" i="9"/>
  <c r="CT21" i="9"/>
  <c r="CT13" i="9"/>
  <c r="CT11" i="9"/>
  <c r="CT9" i="9"/>
  <c r="CT23" i="9"/>
  <c r="CT15" i="9"/>
  <c r="CT7" i="9"/>
  <c r="CT5" i="9"/>
  <c r="CU57" i="9" l="1"/>
  <c r="CU55" i="9"/>
  <c r="CU53" i="9"/>
  <c r="CU51" i="9"/>
  <c r="CU83" i="9"/>
  <c r="CU75" i="9"/>
  <c r="CU85" i="9"/>
  <c r="CU81" i="9"/>
  <c r="CU89" i="9"/>
  <c r="CU77" i="9"/>
  <c r="CU87" i="9"/>
  <c r="CU79" i="9"/>
  <c r="CU71" i="9"/>
  <c r="CU63" i="9"/>
  <c r="CU67" i="9"/>
  <c r="CU61" i="9"/>
  <c r="CU69" i="9"/>
  <c r="CU65" i="9"/>
  <c r="CU25" i="9"/>
  <c r="CU59" i="9"/>
  <c r="CU49" i="9"/>
  <c r="CU45" i="9"/>
  <c r="CU47" i="9"/>
  <c r="CU41" i="9"/>
  <c r="CU73" i="9"/>
  <c r="CU43" i="9"/>
  <c r="CV3" i="9"/>
  <c r="CU17" i="9"/>
  <c r="CU21" i="9"/>
  <c r="CU13" i="9"/>
  <c r="CU11" i="9"/>
  <c r="CU23" i="9"/>
  <c r="CU15" i="9"/>
  <c r="CU7" i="9"/>
  <c r="CU5" i="9"/>
  <c r="CU19" i="9"/>
  <c r="CU9" i="9"/>
  <c r="CV55" i="9" l="1"/>
  <c r="CV53" i="9"/>
  <c r="CV51" i="9"/>
  <c r="CV57" i="9"/>
  <c r="CV87" i="9"/>
  <c r="CV79" i="9"/>
  <c r="CV75" i="9"/>
  <c r="CV89" i="9"/>
  <c r="CV81" i="9"/>
  <c r="CV83" i="9"/>
  <c r="CV85" i="9"/>
  <c r="CV77" i="9"/>
  <c r="CV69" i="9"/>
  <c r="CV61" i="9"/>
  <c r="CV67" i="9"/>
  <c r="CV71" i="9"/>
  <c r="CV65" i="9"/>
  <c r="CV63" i="9"/>
  <c r="CV25" i="9"/>
  <c r="CV45" i="9"/>
  <c r="CV43" i="9"/>
  <c r="CV41" i="9"/>
  <c r="CV47" i="9"/>
  <c r="CV59" i="9"/>
  <c r="CV49" i="9"/>
  <c r="CV73" i="9"/>
  <c r="CW3" i="9"/>
  <c r="CV23" i="9"/>
  <c r="CV21" i="9"/>
  <c r="CV19" i="9"/>
  <c r="CV17" i="9"/>
  <c r="CV15" i="9"/>
  <c r="CV5" i="9"/>
  <c r="CV13" i="9"/>
  <c r="CV7" i="9"/>
  <c r="CV9" i="9"/>
  <c r="CV11" i="9"/>
  <c r="CW53" i="9" l="1"/>
  <c r="CW51" i="9"/>
  <c r="CW55" i="9"/>
  <c r="CW57" i="9"/>
  <c r="CW83" i="9"/>
  <c r="CW79" i="9"/>
  <c r="CW75" i="9"/>
  <c r="CW89" i="9"/>
  <c r="CW85" i="9"/>
  <c r="CW87" i="9"/>
  <c r="CW81" i="9"/>
  <c r="CW77" i="9"/>
  <c r="CW67" i="9"/>
  <c r="CW65" i="9"/>
  <c r="CW63" i="9"/>
  <c r="CW61" i="9"/>
  <c r="CW71" i="9"/>
  <c r="CW69" i="9"/>
  <c r="CW59" i="9"/>
  <c r="CW49" i="9"/>
  <c r="CW45" i="9"/>
  <c r="CW47" i="9"/>
  <c r="CW41" i="9"/>
  <c r="CW25" i="9"/>
  <c r="CW73" i="9"/>
  <c r="CW43" i="9"/>
  <c r="CX3" i="9"/>
  <c r="CW21" i="9"/>
  <c r="CW19" i="9"/>
  <c r="CW17" i="9"/>
  <c r="CW23" i="9"/>
  <c r="CW15" i="9"/>
  <c r="CW13" i="9"/>
  <c r="CW9" i="9"/>
  <c r="CW5" i="9"/>
  <c r="CW11" i="9"/>
  <c r="CW7" i="9"/>
  <c r="CX51" i="9" l="1"/>
  <c r="CX57" i="9"/>
  <c r="CX55" i="9"/>
  <c r="CX53" i="9"/>
  <c r="CX87" i="9"/>
  <c r="CX81" i="9"/>
  <c r="CX89" i="9"/>
  <c r="CX79" i="9"/>
  <c r="CX83" i="9"/>
  <c r="CX75" i="9"/>
  <c r="CX77" i="9"/>
  <c r="CX85" i="9"/>
  <c r="CX65" i="9"/>
  <c r="CX63" i="9"/>
  <c r="CX61" i="9"/>
  <c r="CX71" i="9"/>
  <c r="CX69" i="9"/>
  <c r="CX67" i="9"/>
  <c r="CX25" i="9"/>
  <c r="CX59" i="9"/>
  <c r="CX45" i="9"/>
  <c r="CX41" i="9"/>
  <c r="CX49" i="9"/>
  <c r="CX73" i="9"/>
  <c r="CX47" i="9"/>
  <c r="CX43" i="9"/>
  <c r="CY3" i="9"/>
  <c r="CX19" i="9"/>
  <c r="CX23" i="9"/>
  <c r="CX21" i="9"/>
  <c r="CX15" i="9"/>
  <c r="CX13" i="9"/>
  <c r="CX9" i="9"/>
  <c r="CX17" i="9"/>
  <c r="CX11" i="9"/>
  <c r="CX7" i="9"/>
  <c r="CX5" i="9"/>
  <c r="CY57" i="9" l="1"/>
  <c r="CY55" i="9"/>
  <c r="CY51" i="9"/>
  <c r="CY53" i="9"/>
  <c r="CY81" i="9"/>
  <c r="CY87" i="9"/>
  <c r="CY79" i="9"/>
  <c r="CY83" i="9"/>
  <c r="CY75" i="9"/>
  <c r="CY85" i="9"/>
  <c r="CY77" i="9"/>
  <c r="CY89" i="9"/>
  <c r="CY71" i="9"/>
  <c r="CY63" i="9"/>
  <c r="CY69" i="9"/>
  <c r="CY67" i="9"/>
  <c r="CY65" i="9"/>
  <c r="CY61" i="9"/>
  <c r="CY25" i="9"/>
  <c r="CY41" i="9"/>
  <c r="CY49" i="9"/>
  <c r="CY73" i="9"/>
  <c r="CY43" i="9"/>
  <c r="CY45" i="9"/>
  <c r="CY47" i="9"/>
  <c r="CY59" i="9"/>
  <c r="CZ3" i="9"/>
  <c r="CY17" i="9"/>
  <c r="CY13" i="9"/>
  <c r="CY23" i="9"/>
  <c r="CY19" i="9"/>
  <c r="CY11" i="9"/>
  <c r="CY7" i="9"/>
  <c r="CY5" i="9"/>
  <c r="CY9" i="9"/>
  <c r="CY21" i="9"/>
  <c r="CY15" i="9"/>
  <c r="CZ55" i="9" l="1"/>
  <c r="CZ53" i="9"/>
  <c r="CZ51" i="9"/>
  <c r="CZ57" i="9"/>
  <c r="CZ83" i="9"/>
  <c r="CZ79" i="9"/>
  <c r="CZ89" i="9"/>
  <c r="CZ77" i="9"/>
  <c r="CZ87" i="9"/>
  <c r="CZ75" i="9"/>
  <c r="CZ85" i="9"/>
  <c r="CZ81" i="9"/>
  <c r="CZ69" i="9"/>
  <c r="CZ61" i="9"/>
  <c r="CZ71" i="9"/>
  <c r="CZ65" i="9"/>
  <c r="CZ67" i="9"/>
  <c r="CZ63" i="9"/>
  <c r="CZ59" i="9"/>
  <c r="CZ49" i="9"/>
  <c r="CZ45" i="9"/>
  <c r="CZ73" i="9"/>
  <c r="CZ25" i="9"/>
  <c r="CZ47" i="9"/>
  <c r="CZ43" i="9"/>
  <c r="CZ41" i="9"/>
  <c r="DA3" i="9"/>
  <c r="CZ23" i="9"/>
  <c r="CZ19" i="9"/>
  <c r="CZ17" i="9"/>
  <c r="CZ11" i="9"/>
  <c r="CZ5" i="9"/>
  <c r="CZ21" i="9"/>
  <c r="CZ7" i="9"/>
  <c r="CZ15" i="9"/>
  <c r="CZ13" i="9"/>
  <c r="CZ9" i="9"/>
  <c r="DA53" i="9" l="1"/>
  <c r="DA51" i="9"/>
  <c r="DA57" i="9"/>
  <c r="DA55" i="9"/>
  <c r="DA75" i="9"/>
  <c r="DA87" i="9"/>
  <c r="DA83" i="9"/>
  <c r="DA85" i="9"/>
  <c r="DA89" i="9"/>
  <c r="DA77" i="9"/>
  <c r="DA81" i="9"/>
  <c r="DA79" i="9"/>
  <c r="DA67" i="9"/>
  <c r="DA61" i="9"/>
  <c r="DA69" i="9"/>
  <c r="DA63" i="9"/>
  <c r="DA71" i="9"/>
  <c r="DA65" i="9"/>
  <c r="DA25" i="9"/>
  <c r="DA49" i="9"/>
  <c r="DA59" i="9"/>
  <c r="DA41" i="9"/>
  <c r="DA45" i="9"/>
  <c r="DA47" i="9"/>
  <c r="DA43" i="9"/>
  <c r="DA73" i="9"/>
  <c r="DB3" i="9"/>
  <c r="DA21" i="9"/>
  <c r="DA19" i="9"/>
  <c r="DA17" i="9"/>
  <c r="DA15" i="9"/>
  <c r="DA23" i="9"/>
  <c r="DA9" i="9"/>
  <c r="DA11" i="9"/>
  <c r="DA5" i="9"/>
  <c r="DA13" i="9"/>
  <c r="DA7" i="9"/>
  <c r="DB51" i="9" l="1"/>
  <c r="DB57" i="9"/>
  <c r="DB55" i="9"/>
  <c r="DB53" i="9"/>
  <c r="DB79" i="9"/>
  <c r="DB89" i="9"/>
  <c r="DB83" i="9"/>
  <c r="DB77" i="9"/>
  <c r="DB87" i="9"/>
  <c r="DB85" i="9"/>
  <c r="DB75" i="9"/>
  <c r="DB81" i="9"/>
  <c r="DB65" i="9"/>
  <c r="DB63" i="9"/>
  <c r="DB61" i="9"/>
  <c r="DB69" i="9"/>
  <c r="DB71" i="9"/>
  <c r="DB67" i="9"/>
  <c r="DB59" i="9"/>
  <c r="DB45" i="9"/>
  <c r="DB49" i="9"/>
  <c r="DB25" i="9"/>
  <c r="DB47" i="9"/>
  <c r="DB43" i="9"/>
  <c r="DB73" i="9"/>
  <c r="DB41" i="9"/>
  <c r="DC3" i="9"/>
  <c r="DB19" i="9"/>
  <c r="DB17" i="9"/>
  <c r="DB23" i="9"/>
  <c r="DB21" i="9"/>
  <c r="DB15" i="9"/>
  <c r="DB13" i="9"/>
  <c r="DB9" i="9"/>
  <c r="DB7" i="9"/>
  <c r="DB11" i="9"/>
  <c r="DB5" i="9"/>
  <c r="DC57" i="9" l="1"/>
  <c r="DC55" i="9"/>
  <c r="DC53" i="9"/>
  <c r="DC51" i="9"/>
  <c r="DC87" i="9"/>
  <c r="DC79" i="9"/>
  <c r="DC89" i="9"/>
  <c r="DC83" i="9"/>
  <c r="DC75" i="9"/>
  <c r="DC85" i="9"/>
  <c r="DC81" i="9"/>
  <c r="DC77" i="9"/>
  <c r="DC71" i="9"/>
  <c r="DC63" i="9"/>
  <c r="DC61" i="9"/>
  <c r="DC69" i="9"/>
  <c r="DC67" i="9"/>
  <c r="DC65" i="9"/>
  <c r="DC25" i="9"/>
  <c r="DC45" i="9"/>
  <c r="DC73" i="9"/>
  <c r="DC43" i="9"/>
  <c r="DC47" i="9"/>
  <c r="DC59" i="9"/>
  <c r="DC49" i="9"/>
  <c r="DC41" i="9"/>
  <c r="DC17" i="9"/>
  <c r="DC23" i="9"/>
  <c r="DC21" i="9"/>
  <c r="DC19" i="9"/>
  <c r="DC15" i="9"/>
  <c r="DC13" i="9"/>
  <c r="DC11" i="9"/>
  <c r="DC7" i="9"/>
  <c r="DC5" i="9"/>
  <c r="DC9" i="9"/>
</calcChain>
</file>

<file path=xl/sharedStrings.xml><?xml version="1.0" encoding="utf-8"?>
<sst xmlns="http://schemas.openxmlformats.org/spreadsheetml/2006/main" count="3596" uniqueCount="766">
  <si>
    <t>Fertilizer Management</t>
  </si>
  <si>
    <t>Stormwater BMPs</t>
  </si>
  <si>
    <t>Surface Water Remediation Wetlands</t>
  </si>
  <si>
    <t>Pond and Estuary Dredging</t>
  </si>
  <si>
    <t>Flow</t>
  </si>
  <si>
    <t>GPD</t>
  </si>
  <si>
    <t>Low</t>
  </si>
  <si>
    <t>High</t>
  </si>
  <si>
    <t>Average</t>
  </si>
  <si>
    <t>Acres</t>
  </si>
  <si>
    <t>Linear Foot</t>
  </si>
  <si>
    <t>Each</t>
  </si>
  <si>
    <t>Nitrogen</t>
  </si>
  <si>
    <t>Groundwater</t>
  </si>
  <si>
    <t>Stormwater</t>
  </si>
  <si>
    <t>Nper</t>
  </si>
  <si>
    <t>Green Infrastructure</t>
  </si>
  <si>
    <t>Constructed Wetlands - Surface Flow</t>
  </si>
  <si>
    <t>Phytoirrigation and Phytobuffers</t>
  </si>
  <si>
    <t>Stormwater: Bioretention / Soil Media Filters</t>
  </si>
  <si>
    <t>Stormwater: Constructed Wetlands</t>
  </si>
  <si>
    <t>Phytoremediation</t>
  </si>
  <si>
    <t>Waste Reduction Toilets</t>
  </si>
  <si>
    <t>Curb Mile</t>
  </si>
  <si>
    <t>Transfer of Development Rights</t>
  </si>
  <si>
    <t>System Alterations</t>
  </si>
  <si>
    <t>Cubic Yard</t>
  </si>
  <si>
    <t>Gray Infrastructure</t>
  </si>
  <si>
    <t>Innovative/Alternative (I/A) Systems</t>
  </si>
  <si>
    <t>Innovative/Alternative (I/A) Enhanced Systems</t>
  </si>
  <si>
    <t xml:space="preserve">Cluster Treatment System - Two-stage </t>
  </si>
  <si>
    <t>Conventional Treatment</t>
  </si>
  <si>
    <t>Advanced Treatment</t>
  </si>
  <si>
    <t>Satellite Treatment</t>
  </si>
  <si>
    <t>Satellite Treatment - Enhanced</t>
  </si>
  <si>
    <t>Collection Systems</t>
  </si>
  <si>
    <t>STEG - Collection</t>
  </si>
  <si>
    <t>STEP - Collection</t>
  </si>
  <si>
    <t>Square Foot</t>
  </si>
  <si>
    <t>Commercial Disposal</t>
  </si>
  <si>
    <t>Composting</t>
  </si>
  <si>
    <t>Incineration</t>
  </si>
  <si>
    <t>Lime Stabilization</t>
  </si>
  <si>
    <t>Digestion</t>
  </si>
  <si>
    <t>Effluent Disposal</t>
  </si>
  <si>
    <t>Gravity Sewer</t>
  </si>
  <si>
    <t>Low Pressure Sewer</t>
  </si>
  <si>
    <t>Vacuum Sewer</t>
  </si>
  <si>
    <t>Force Main</t>
  </si>
  <si>
    <t>Pump Station</t>
  </si>
  <si>
    <t>On-Site Pump Station</t>
  </si>
  <si>
    <t>Dewater and Haul to Landfill</t>
  </si>
  <si>
    <t>Thermal Drying</t>
  </si>
  <si>
    <t>Drying and Gasification</t>
  </si>
  <si>
    <t>DTPD</t>
  </si>
  <si>
    <t/>
  </si>
  <si>
    <t>Yes</t>
  </si>
  <si>
    <t>No</t>
  </si>
  <si>
    <t>`</t>
  </si>
  <si>
    <t>Project Cost Factor</t>
  </si>
  <si>
    <t>Description</t>
  </si>
  <si>
    <t>Influent Concentration</t>
  </si>
  <si>
    <t>Average Life Cycle Cost (Non Nutrient Reducing Technology)</t>
  </si>
  <si>
    <t>Advantages</t>
  </si>
  <si>
    <t>Disadvantages</t>
  </si>
  <si>
    <t>Project Cost (PV)</t>
  </si>
  <si>
    <t>Adjustment Factors</t>
  </si>
  <si>
    <t>Adjusted Project Cost (PV)</t>
  </si>
  <si>
    <t>Adjusted Annual O&amp;M Cost</t>
  </si>
  <si>
    <t>Regulatory Comments and Certainty</t>
  </si>
  <si>
    <t>Public Acceptance</t>
  </si>
  <si>
    <t>Project Cost</t>
  </si>
  <si>
    <t>O&amp;M</t>
  </si>
  <si>
    <t>Average Project Cost (PV)</t>
  </si>
  <si>
    <t>Upper Limit of Removal with Lower Limit of Cost</t>
  </si>
  <si>
    <t>Lower Limit of Removal with Upper Limit of Cost</t>
  </si>
  <si>
    <t>20 - 75 mg/L N
4 - 8 mg/L P</t>
  </si>
  <si>
    <t>N/A</t>
  </si>
  <si>
    <t>Requires more data for regulatory approval.  Pilot study likely, requiring establishment of baseline water quality and monitoring once pilot project is online.  The pilot study results will likely be used to determine the effectiveness and efficiency of the technology before allowing full implementation.
Other wetlands type systems (e.g. Ocean Arks) utilizing plants in reactor basins have shown that little of the nutrients are taken up by plants and that the roots and root hairs mimic fixed film reactors thereby providing the bulk of the treatment.  In natural wetlands, most of denitrification occurs through anoxic sediments with labile carbon.  These are the main conditions that a constructed wetland would have to mimic.  It would seem that these should accept secondary treated effluent at a minimum, not primary treatment.  The removal rates exceed natural wetlands and therefore would have to be managed carefully to achieve these high removal rates.
Wetland effluent discharged into a leach field or similar system: (a) Systems not designed to remove phosphorus.  Phosphorus removal in these smaller systems requires lengthy retention times and/or use of specialized media to increase sorption; and (b) Based on 44,000GPD / 2.08 acre total treatment area for Fields of St Croix constructed wetland system in Lake Elmo, MN.</t>
  </si>
  <si>
    <t xml:space="preserve">Requires more data for regulatory approval.  Pilot study likely, requiring establishment of baseline water quality and monitoring once pilot project is online.  The pilot study results will likely be used to determine the effectiveness and efficiency of the technology before allowing full implementation.
Other wetlands type systems (e.g. Ocean Arks) utilizing plants in reactor basins have shown that little of the nutrients are taken up by plants and that the roots and root hairs mimic fixed film reactors thereby providing the bulk of the treatment.  In natural wetlands, most of denitrification occurs through anoxic sediments with labile carbon.  These are the main conditions that a constructed wetland would have to mimic.  It would seem that these should accept secondary treated effluent at a minimum, not primary treatment.  The removal rates exceed natural wetlands and therefore would have to be managed carefully to achieve these high removal rates.
For flows up to 10,000 gpd proposes only septic tank pretreatment.  Regardless of the level of treatment,  how would this be effective during the non-growing season since unless some type of storage is required, but doubtful whether these smaller type developments would have the available land.
UNH stormwater center research shows high NO3-N and TP removal rates. Establishing setback to wetland resource areas important to reduce nitrogen movement through groundwater mound to wetland. Comments/questions asks “wetland effluent discharged into a water body or used for open space irrigation.” Wetlands Program would prefer recharge of the treated effluent as disposal mechanism. Discharge to inland rivers of sufficient size to promote dilution would be second choice. </t>
  </si>
  <si>
    <t>Raw Sewage
Septic Tank Effluent
Primary Effluent</t>
  </si>
  <si>
    <t>● Adjacent to housing and development.</t>
  </si>
  <si>
    <t>● Compact size with high nutrient removal efficiencies.</t>
  </si>
  <si>
    <t>Past experience with these types of systems have required conventional denitrification filters on the back end to achieve desired TN limits.  Also, energy costs are high since these are usually built in some type of greenhouse and need to maintain  year round growing temperature and light conditions.</t>
  </si>
  <si>
    <t>Secondary Effluent
Advanced Effluent</t>
  </si>
  <si>
    <t>10 - 30 mg/L N
3 - 6 mg/L P</t>
  </si>
  <si>
    <t>Nitrogen
Phosphorus</t>
  </si>
  <si>
    <t>● Plants can only be irrigated during growing season (about 3 months).
● For tree systems, it takes several years before plants are mature enough to uptake the take maximum number of gallons per day requiring the effluent be held in holding ponds until the irrigation season.</t>
  </si>
  <si>
    <r>
      <t>(1) CH</t>
    </r>
    <r>
      <rPr>
        <vertAlign val="subscript"/>
        <sz val="10"/>
        <rFont val="Times New Roman"/>
        <family val="1"/>
      </rPr>
      <t>2</t>
    </r>
    <r>
      <rPr>
        <sz val="10"/>
        <rFont val="Times New Roman"/>
        <family val="1"/>
      </rPr>
      <t>HMill, 2012, J. Smeasrod Interview, Offshoots, Inc. Precedent Study- 3 projects.
(2) Nitrogen concentrations in groundwater are difficult to test.  This is the minimum standard that is know to be removed, but the numbers are likely much higher.
(3) Cost per acre can be as low as 5,000 when small cuttings and no irrigation is used.</t>
    </r>
  </si>
  <si>
    <t>Pilot study likely, requiring establishment of baseline water quality and monitoring once pilot project is online.  The pilot study results will likely be used to determine the effectiveness and efficiency of the technology before allowing full implementation.
Removal rates at 90%-100% depend on application at agronomic rate and efficient evapotranspiration.  However, there is a need to consider long term monitoring to demonstrate effectiveness, perhaps with pan lysimeters.  In particular, there could be some release of residual N (particularly Org-N stored in the soil) during the non-growing season.  This would have to be evaluated.  How would this be evaluated considering different application rates, different soil types, different species and density of plantings?</t>
  </si>
  <si>
    <t>20 - 50 mg/L N
4 - 8 mg/L P</t>
  </si>
  <si>
    <t>N, P, TSS, TPH-D, Zn, and Quantity Control, TN, hydrocarbons, microorganisms</t>
  </si>
  <si>
    <t>● Open space required for construction.</t>
  </si>
  <si>
    <t>Retention basins have proven to be effective for some level nutrient removal.  Their overall impact may be limited depending on the percentage of nitrogen load contributed by stormwater (It is typically around 10% on the Cape.)
To optimize treatment, the collection pool needs to be shallow. Shallow pool reduces ability to provide quantity control.  Bioretention is probably better characterized as “site scale” rather than “neighborhood scale,” because they are best dosed by sheet flow, rather than serving as regional treatment systems.
Tests are underway by UNH to evaluate Bioretention designs for retrofits which enhance denitrification.
May not be practical for retrofits.  May not be necessary for N removal.</t>
  </si>
  <si>
    <t>N, P, TSS, TPH-D, Zn, and Quantity Control</t>
  </si>
  <si>
    <t>Innovative and Resource-Management Technologies</t>
  </si>
  <si>
    <t>Ambient Nitrogen Levels in an Estuary</t>
  </si>
  <si>
    <t>2 - 20 mg/L N</t>
  </si>
  <si>
    <t>Nutrient Enriched Groundwater</t>
  </si>
  <si>
    <t>● Permeable soils.
● Depth to groundwater &lt;10 feet.
● Not within priority habitat areas.
● Not within protected open space.
● Benefit if site is located within a Zone II, has disturbed soils, parcel intersects with 50 to 100 foot wetland buffers, has municipal ownership, necessary nitrogen removal in groundwater filtering through parcel is high.</t>
  </si>
  <si>
    <t>● In year one after planting, no remediation occurs because trees have not reached the groundwater. As the trees get larger and pump more water, nitrogen removal rates increase and plateau.
● Seasonal required ET.</t>
  </si>
  <si>
    <t>Pilot study likely requiring establishment of baseline water quality and monitoring once pilot project is online.  The pilot study results will likely be used to determine the effectiveness and efficiency of the technology before allowing full implementation.
Need to work closely with the Hyannis WWTF  demonstration project to evaluate the data.   Considerations would have to include penetration depth into the water table to determine how much nitrogen is being captured and that there is no underflow to allow nitrogen to escape uptake.  There is a need to insure that entire plume is captured, or a means to determine how much of the plume is captured in order to determine load reductions.</t>
  </si>
  <si>
    <t xml:space="preserve">Nitrogen     </t>
  </si>
  <si>
    <t>(1) Construction cost based on the well being 8 to 12-inch in diameter and 20 to 30 feet deep.</t>
  </si>
  <si>
    <t>Pilot study likely requiring establishment of baseline water quality and monitoring once pilot project is online.  The pilot study results will likely be used to determine the effectiveness and efficiency of the technology before allowing full implementation.
There is a need to consider long term monitoring to demonstrate effectiveness, perhaps with pan lysimeters.  In particular, there could be some release of residual N (particularly Org-N stored in the soil) during the non-growing season.  This would have to be evaluated.  How would this be evaluated considering different application rates, different soil types, different species and density of plantings?</t>
  </si>
  <si>
    <t>Raw Sewage</t>
  </si>
  <si>
    <t>20 - 70 mg/L N
4 - 12 mg/L P</t>
  </si>
  <si>
    <t>● Requires a Title 5 System for other gray water sources.</t>
  </si>
  <si>
    <t>● Targets pollutants at the source.
● Reduce fertilizer requirement and associated environmental impacts.</t>
  </si>
  <si>
    <t>● Require ongoing maintenance to function correctly.
● Resulting nutrient removal rates are highly dependent on homeowner / landowner behavior and participation in the program.
● Requires a significant number of citizens to participate to be effective.
● Requires independent citizens to change systems to be cost effective.</t>
  </si>
  <si>
    <t>Expect limited public acceptance or implementation.  Basement or other space needed for waterless remote receptacle directly below. OR additional space needed to include in bathroom served.</t>
  </si>
  <si>
    <t>● Targets pollutants at the source.</t>
  </si>
  <si>
    <t>Expect Limited public acceptance or implementation. One benefit of this over previous type is that installation could be on 2nd story.</t>
  </si>
  <si>
    <t xml:space="preserve">Expect Limited public acceptance or implementation.  </t>
  </si>
  <si>
    <t>Non-Structural Technologies</t>
  </si>
  <si>
    <t>N and P in Fertilizer Products</t>
  </si>
  <si>
    <t>Varies</t>
  </si>
  <si>
    <t>Non-Structural Stormwater strategies.  These strategies include street sweeping, maintenance of stormwater utilities, education and public outreach programs, land use planning, and IC reduction and control.</t>
  </si>
  <si>
    <t>● Varies</t>
  </si>
  <si>
    <t>● Very easily scalable.</t>
  </si>
  <si>
    <t>● Requires the creation and enforce of stormwater regulations and policies.</t>
  </si>
  <si>
    <t>Raw Sewage
Septic Tank Effluent</t>
  </si>
  <si>
    <t>● N/A</t>
  </si>
  <si>
    <t>● High density existing development can be effectively treated at lower costs than adding new wastewater infrastructure.</t>
  </si>
  <si>
    <t xml:space="preserve">● Existing development needs to be proximate to the existing WWTF.
● A town can purchase and operate the WWTF if the existing owner prefers to not take the responsibility of treating the of site wastewater.
</t>
  </si>
  <si>
    <t>(1) Personal interview: Scott Horsley
(2) This technology should be encouraged, but would be difficult to quantify potential nitrogen reductions without conducting site specific analyses.</t>
  </si>
  <si>
    <t>These will help promote smart growth and are good goals.  Challenge is to quantify load reduction impacts.</t>
  </si>
  <si>
    <t>Compact and Open Space Development</t>
  </si>
  <si>
    <t>● Small lots provide density that lowers wastewater collection costs. 
● Less lawn area reduces water and fertilizer use. 
● Common disposal reduces costs.</t>
  </si>
  <si>
    <t>● May require the adoption of a zoning bylaw amendment that promotes/requires landowners to design compact developments.</t>
  </si>
  <si>
    <t>(1) This technology should be encouraged, but would be difficult to quantify potential nitrogen reductions without conducting site specific analyses.</t>
  </si>
  <si>
    <t>May require a that a town pass a bylaw meeting some resistance.</t>
  </si>
  <si>
    <t>Inlet / Culvert Widening</t>
  </si>
  <si>
    <t>Nutrient Enriched Surface Waters</t>
  </si>
  <si>
    <t xml:space="preserve">Nitrogen
Phosphorus                        </t>
  </si>
  <si>
    <t>● Site specific requirements, based on existing culvert bridge dimensions, hydraulics and other characteristics.</t>
  </si>
  <si>
    <t>NA</t>
  </si>
  <si>
    <t>● Undeveloped land of &gt; 5 acres.
● Upstream of areas that typically flood.
● Not within Priority habitat areas.
● Not within Protected open space.
● Must be adjacent to influent source (river or water body) to avoid excessive pumping.
● Topographic considerations are essential to reduce energy use and ensure water movement through system.</t>
  </si>
  <si>
    <t>(1) Average Removal Rate from Kadlec and Knight.  Treatment Wetlands (P 419).
(2) Average treatment capacity of two remediation wetland projects (Des Plaines River Wetland Demonstration Project and Richland Chambers Wetland.
(3) Range of wetland costs adjusted to 2012 dollars from Constructed Wetlands Treatment of Municipal Wastewaters. EPA.1999. (P 132-133.)
(4) Range of O&amp;M values adjusted for inflation From  Jim Kreissl. Constructed Wetlands Treatment for Nutrient Treatment for Nutrient Reduction.  Presentation at POTW Nutrient Reduction and Efficiency Workshop,  2008.
(5) Kadlec and Knight.  Treatment Wetlands (P  463).
(6) 1 acre of  SSF CTW will treat 50-75 homes/acre Total Nitrogen at 330 gpd. Assumptions: Q= 330 gpd (1.25 mg/l); Ci = 20 mg/l; Ce = 5 mg/l (TN), k (areal removal rate constant): 4-15 m/yr. C* = 0 mg/l (background).  Equates to 0.015 to 0.025 acres/330 gpd.
(7) These are Constructed Treatment Wetland Cells often designed as FWS cells constructed in an upland location, lined and sized accordingly based on design flow to manage (Q), influent pollutant concentration(Ci), and target goal for effluent concentration (Ce) along with a decay constant (k) (areal rate constant).  Much of the information presented above for FWS wetlands is applicable here, direct gravity discharge is preferred over pumping and many pollutants can be managed with these systems including nutrients (N, P), TSS, BOD, pH, suspended metals, TPH and pathogens. These systems can often be integrated as tertiary polishing units depending on the pollutant for existing surface waters to be directed through.  If a system like this is integrated with an existing impaired surface water, flood management/mitigation needs to be fully evaluated.  There are some passive benefits of these systems including creating aquatic habitat for a wide range of fish, amphibians and other wildlife.</t>
  </si>
  <si>
    <t>Appropriate as polishing.  Need to emphasize application as source reduction vs. in situ treatment.
Main concerns from Wetlands Program are aquatic organism movement and operation during floods since water is typically diverted from a river through treatment lagoons, then back to river downstream. Mechanisms would need to be put in place to safe guard aquatic organism passage.
Only applicable in cases where much of the load is through riverine systems - will not deal with groundwater inputs.
Infiltration is not necessarily N removal at the watershed or coastal scale.</t>
  </si>
  <si>
    <t>Pond Bottom Sediments</t>
  </si>
  <si>
    <t>Nutrients from Sediments Removed</t>
  </si>
  <si>
    <t>● Site specific requirements, based on hydraulics and other characteristics.</t>
  </si>
  <si>
    <t>● Removes nutrients from pond or estuary that can leach out over time.</t>
  </si>
  <si>
    <t>● Relatively inexpensive.
● Collection system unnecessary.</t>
  </si>
  <si>
    <t xml:space="preserve">Effectiveness of these treatment systems is generally well documented. </t>
  </si>
  <si>
    <t xml:space="preserve">Property owner responsible for maintenance.  </t>
  </si>
  <si>
    <t>● Generally lower cost effectiveness in terms of nutrient removal than shared systems.</t>
  </si>
  <si>
    <t>Property owner responsible for maintenance and/or O&amp;M contract.  Recommend BOH require copy of contract in building file.  Caution: if I/A installed on Sale of home as buyers not always aware of O&amp;M requirements.</t>
  </si>
  <si>
    <t>● Higher treatment efficiency than individual systems.  
● Potentially lower transport costs than wastewater treatment facilities.</t>
  </si>
  <si>
    <t xml:space="preserve">● May require the installation of a collection system.
● Generally lower treatment efficiencies than conventional wastewater treatment facilities.
● May not meet the nitrogen standards without the  additional of methanol (or other carbon source) and/or alkalinity adjustment requiring a professional operator
● All systems discharging greater than 2,000 gpd require a dosed leaching field. 
</t>
  </si>
  <si>
    <t>Community System managed by contract operator hired by neighborhood association or property management company.</t>
  </si>
  <si>
    <t>● May require the installation of a collection system.
● Generally lower treatment efficiencies than conventional wastewater treatment facilities.</t>
  </si>
  <si>
    <t>● 314 CMR 5.00 and MassDEP.</t>
  </si>
  <si>
    <t xml:space="preserve">● Higher treatment efficiency than individual systems.  </t>
  </si>
  <si>
    <t>● Requires the installation of a collection system increasing costs and disruption within roadways.
● Significantly higher maintenance, monitoring, and reporting costs than individual or cluster systems.
● Requires larger land areas for facilities and disposal.</t>
  </si>
  <si>
    <t xml:space="preserve">● Requires the installation of a collection system increasing costs and disruption within roadways.
● Significantly higher maintenance, monitoring, and reporting costs than individual or cluster systems.
● Requires larger land areas for facilities and disposal.
</t>
  </si>
  <si>
    <t>● Typically constructed in roadways and minimal on private property.
● Coordination with existing utilities.
● Roadway reconstruction/restoration.
● On-site systems; minimal impact to utilities; permitting (wetlands), and private property restoration.</t>
  </si>
  <si>
    <t>● Requires conveyance of solids contained in raw sewage that could require the gravity main to be installed deep in the ground increasing costs.
● Technology more expensive that other collection systems (LPS, VS STEP and STEG).
● Expensive due to required pump stations and force mains.
● Requires land for pump stations.
● Deep construction.</t>
  </si>
  <si>
    <t xml:space="preserve">As we have seen with other projects, the type of collection system (conventional, grinder pumps, vacuum, STEP, etc.) is not as important matching up the right alternative to the site specific conditions.  One type is neither superior to the others nor should be used to the exclusion of others. </t>
  </si>
  <si>
    <t>● May require construction of shared vacuum structures on private property.
● Vacuum Structures require regular O&amp;M checks
● Requires land for central vacuum stations - similar to conventional pump station.
● Typically higher O&amp;M to gravity collection</t>
  </si>
  <si>
    <t>● Eliminates the need for institutional controls associated with systems that involve on-site pumps (LPS, STEP and STEG).</t>
  </si>
  <si>
    <t xml:space="preserve">● Requires land acquisition.
● Technology more expensive that other collection systems (LPS, VS STEP and STEG).
</t>
  </si>
  <si>
    <t xml:space="preserve">● Institutional controls may be necessary to ensure systems are functioning properly.
● Requires construction on private property.
● May require electric service upgrade.
● May require interior pluming modifications.
● Limited storage capacity during power outages.
</t>
  </si>
  <si>
    <t xml:space="preserve">Septic Tank Effluent
</t>
  </si>
  <si>
    <t>● Typically constructed in roadways and on private property.
● On-site systems; minimal impact to utilities; permitting (wetlands), and private property restoration.</t>
  </si>
  <si>
    <t xml:space="preserve">● Potential reduced costs over conventional collection systems.
● Easily adaptable to existing septic tank systems.
● The septic tank retains a majority of the grease thereby eliminating clogging problems with the pumping system and force mains.
● Septic tank has at least 12-24 hours of storage capacity during power blackouts.
● Does not require land acquisition.
</t>
  </si>
  <si>
    <t xml:space="preserve">● Institutional controls may be necessary to ensure systems are functioning properly.
● Requires construction on private property.
● Septage (grease and sludge) must be pumped from each individual septic tank.
● Anaerobic septic tanks generate odors and methane gas.
</t>
  </si>
  <si>
    <t xml:space="preserve">Septic Tank Effluent
or
Black Water
</t>
  </si>
  <si>
    <t>● Potential reduced costs over conventional collection systems.
● Easily adaptable to existing septic tank systems.
● The septic tank retains a majority of the grease thereby eliminating clogging problems with the pumping system and force mains.
● Septic tank has at least 12-24 hours of storage capacity during power blackouts.
● Does not require land acquisition.</t>
  </si>
  <si>
    <t>Each (Interior Plumbing Reconfiguration)</t>
  </si>
  <si>
    <t>Effluent Disposal - Infiltration Basins</t>
  </si>
  <si>
    <t>● 314 CMR 5.00</t>
  </si>
  <si>
    <t>● Lower construction costs than soil absorption systems (SAS).
● Easy access to soils underlying discharge.</t>
  </si>
  <si>
    <t>Effluent Disposal - Soil Absorption System (SAS)</t>
  </si>
  <si>
    <t xml:space="preserve">Septic Tank Effluent
Secondary Effluent
Advanced Effluent
</t>
  </si>
  <si>
    <t>● Virtually no above ground utilities.
● Can be installed in public areas (fields, under gold course fairways, parks, etc.).</t>
  </si>
  <si>
    <t>● Requires the most land area of discharge options.
● Generally most expensive (Land and construction costs) of the land discharge options.</t>
  </si>
  <si>
    <t>Effluent Disposal - Injection Well</t>
  </si>
  <si>
    <t>Advanced Effluent</t>
  </si>
  <si>
    <t>● Requires only a fraction of the land area needed for infiltration basins or soil absorption systems.
● Can be installed on very small parcels or within easements.
● Injection wells can be installed through shallow fine layers that may limit or prohibit the installation of infiltration basins or soil absorption systems. 
● Discharge generally occurs deeper in the aquifer, where the effluent can travel below surface waters and some water supplies.
● Virtually no above ground utilities.</t>
  </si>
  <si>
    <t>● High level of treatment required.
● Capital and O&amp;M costs are high due to pumping.
● Requires higher level of hydrogeologic investigation than infiltration basin and soil absorption systems (SAS).
● Extensive permitting issues; presently not an accepted technology by MassDEP.</t>
  </si>
  <si>
    <t>Pilot study likely requiring establishment of baseline water quality and monitoring once pilot project is online.  The pilot study results will likely be used to determine the effectiveness and efficiency of the technology before allowing full implementation.
MassDEP has not permitted an injection well in the past.  MassDEP will need to be reconsider allowing the testing  and installation of the technology.</t>
  </si>
  <si>
    <t>Effluent Disposal - Wick Well</t>
  </si>
  <si>
    <t>● Requires only a fraction of the land area needed for infiltration basins or soil absorption systems.
● Can be installed on very small parcels or within easement areas.
● Low capital and O&amp;M costs compared to the other discharge options.
● Wicks can be installed through shallow layers of fine soils that may limit or prohibit the installation of infiltration basins or soil absorption systems. 
● Virtually no above ground utilities.
● Easy access to wicks for monitoring.</t>
  </si>
  <si>
    <t>● Higher level of treatment than infiltration basins and soil absorption systems (SAS) discharges may be required.
● May require a higher level of hydrogeologic investigation than infiltration basin and soil absorption systems (SAS).
● Higher level of permitting (MassDEP) may be required than infiltration basins or soil absorption systems (SAS).</t>
  </si>
  <si>
    <t>MassDEP has in the past, but may need to be updated on the performance of the existing wicks.</t>
  </si>
  <si>
    <t>Effluent Disposal - Ocean Outfall</t>
  </si>
  <si>
    <r>
      <t>● Acceptable</t>
    </r>
    <r>
      <rPr>
        <strike/>
        <sz val="10"/>
        <rFont val="Times New Roman"/>
        <family val="1"/>
      </rPr>
      <t xml:space="preserve"> </t>
    </r>
    <r>
      <rPr>
        <sz val="10"/>
        <rFont val="Times New Roman"/>
        <family val="1"/>
      </rPr>
      <t>pipe or force main alignments.
● Ocean discharge site - Issues are: dilution and dispersion characteristics; fisheries impacts; SA classification (O&amp;G, toxicity, pathogens, etc.), ocean bottom impacts, distance from WWTF, and geotechnical site suitability.</t>
    </r>
  </si>
  <si>
    <t>● High level of nutrient reduction as nutrients are removed from the watershed.
● Reliable, proven technology.
● Long life-cycle systems.
● Suitable for larger facilities in densely developed areas.</t>
  </si>
  <si>
    <t xml:space="preserve">MassDEP will have to reconsider allowing ocean outfalls as these discharges have not been allowed for several years due to the Ocean Protection Act.
This alternative should be strongly considered if a site away from the estuaries can be located.  Not a simple alternative to implement but would eliminate many of the other issues we have and completely remove all the nutrients from the estuary.  </t>
  </si>
  <si>
    <t>Potential for public resistance.  However, there is a groundswell of opinion growing that believes the time has come to reconsider the existing barriers to ocean outfall.</t>
  </si>
  <si>
    <t>Effluent Transport out of Watershed to Recharge, Reuse Facility or Ocean Outfall</t>
  </si>
  <si>
    <t>Gravity or force main conveyance of treated effluent from  the WWTF site to groundwater recharge, reuse or disposal site outside of the watershed.  Effluent Transport out of the watershed has the advantage of removing the nitrogen load to another watershed.  Transport to another watershed requires the receiving watershed to be able to accommodate the additional nitrogen load.</t>
  </si>
  <si>
    <t>● Acceptable pipe or force main alignments.
● Suitable site for pumping station (0.25 to 0.5 acre).
● GW recharge or disposal site (2 to 4 gpd/sf) with necessary redundant area.
● 314 CMR 5.00.
● Issues are: in-basin recharge areas limiting N credit, distance from WWTF, geotechnical site suitability, Zone IIs, abutter concerns, and disease vectors.</t>
  </si>
  <si>
    <t>Effluent Transport Out of Watershed: (a) May not require wetlands permitting.  However, raises concern with potential base flow reduction that supports water surface level in wetlands; (b) Effects on local water balance need to be assessed; and (c) This can upset hydrologic balance to wetland systems - dry out these systems and elute nutrients released from sediments and create additional problems.  Need to assure water tight collection system.</t>
  </si>
  <si>
    <t>If reuse is considered, may meet with public resistance.  However, there is a groundswell of opinion growing that believes the time has come to reconsider the existing barriers to ocean outfall as well as increasing effluent reuse.</t>
  </si>
  <si>
    <t>Onsite-Decentralized and
Cluster Systems</t>
  </si>
  <si>
    <t>Next Generation On-site System Technologies
(currently under development)</t>
  </si>
  <si>
    <t xml:space="preserve">CalTech decentralized wastewater treatment system (community toilet system) that uses an electrochemical reactor.  Prototypes will be field tested in December 2013
</t>
  </si>
  <si>
    <t xml:space="preserve">ClearPod System by Bright Water Technologies (Canada).  Microbe bio-column is placed into current septic tank; and air pumps increase circulate air into tank to increase microbial activity. 
</t>
  </si>
  <si>
    <t>(1) ClearPod™ System - Enhanced Septic System Treatment
     www.clearpodwater.com</t>
  </si>
  <si>
    <t xml:space="preserve">Applied Environmental Technologies (AET) - Energy and Nutrient Extraction from Onsite Wastewater.
</t>
  </si>
  <si>
    <t>(1) EPA SBIR funded project.
     http://www.sbir.gov/sbirsearch/detail/409623</t>
  </si>
  <si>
    <t xml:space="preserve">Enviro Utilities, Inc., Electrolytic Reactor for N Removal from Existing Septic Tanks.
</t>
  </si>
  <si>
    <t>(1) Enviro Utilities, Inc.
     http://enviro-utilities.com/
(2) EPA SBIR funded project.
     http://www.sbir.gov/sbirsearch/detail/409671</t>
  </si>
  <si>
    <t>EPA SBIR funded project for Phase 1 (proof of concept) which will be finished in November 2013.</t>
  </si>
  <si>
    <t>Small Scale MBR</t>
  </si>
  <si>
    <t>BUSSE Green Technologies, Inc. - Small footprint and odorless system installed in basement of structure.  Currently under development.</t>
  </si>
  <si>
    <t>(1) Small scale MBRs
     http://www.busse-gt.com/small-sewage-treatment-plant.asp
(2) Brochure 
     http://www.busse-gt.com/download/BrochureBusseGT.pdf
(3) Test Report
     http://www.busse-gt.com/download/TestReportNoPIA2009-100B60P.pdf</t>
  </si>
  <si>
    <t>EPA SBIR funded project for Phase 1 (proof of concept) which will be finished in November 2014.</t>
  </si>
  <si>
    <t>On-Site Grey Water Treatment</t>
  </si>
  <si>
    <t xml:space="preserve">On-site grey water treatment processes include filtration and UV disinfection units. Pump is used to reticulate the treated grey water for toilet flushing, lawn irrigation, and car washing.
</t>
  </si>
  <si>
    <t>Household Grey Water</t>
  </si>
  <si>
    <t>N &lt; 25 mg/L
P &lt; 10 mg/L</t>
  </si>
  <si>
    <t>SSWR5.1</t>
  </si>
  <si>
    <t>Other</t>
  </si>
  <si>
    <t>Digester and Combined Heat Power Unit</t>
  </si>
  <si>
    <t xml:space="preserve">Residential human excretion is co-digested with food waste and restaurant grease. Combined heat and power unit is installed to recover heat and generate electricity. 
</t>
  </si>
  <si>
    <t>Pathogens, Nutrients, TSS, BOD, TOC</t>
  </si>
  <si>
    <t>● Toilet flushing water, food waste, grease trap from restaurant.</t>
  </si>
  <si>
    <t>Switch from Fuels that Deliver Nitrogen to Watersheds</t>
  </si>
  <si>
    <t>Switching to electric or natural gas vehicles.</t>
  </si>
  <si>
    <t>Minimizes N-loading on impervious surfaces</t>
  </si>
  <si>
    <t>Solids Processing</t>
  </si>
  <si>
    <t>● Requires a truck loading station.</t>
  </si>
  <si>
    <t>● Low capital cost.
● Uncomplicated and easily implemented.
● Option of using unthickened or thickened sludge.
● Potential savings using liquid disposal.  If this a large plant this statement will not be true.
● Guaranteed disposal.
● Minimal maintenance (liquid disposal).</t>
  </si>
  <si>
    <t>Requires a dewatering device onsite to increase to increase the solid content to a level that will meet a paint filter test and other local requirements.  The degree of stabilization required for the landfills need to be coordinated with landfill(s) in the region.</t>
  </si>
  <si>
    <t>● Requires a dewatering device and truck loading station.
● Landfill(s) in the area willing to take dewatered cake will need to be identified.</t>
  </si>
  <si>
    <t>● Potential to Handle Entire Waste Stream.
● Phased Development.</t>
  </si>
  <si>
    <t>● Requires a dewatering devices before composting. 
● The area required for depends on type of composting (windrow, aerated static pile or in vessel). 
● Design and selection of an applicable composting site will depend on land area available, distance from neighbors and availability and source of amendment materials.  If close to neighbors the system will likely need to be enclosed with odor control.</t>
  </si>
  <si>
    <t>● Beneficial use.
● Produces a class A product that is more marketable than other types of biosolids.
● Generally simple process that is relatively easy to operate and maintain.
● Well proven technology.
● Potential Income Source.
● Minor Regulatory Requirements.</t>
  </si>
  <si>
    <t>● Requires a dewatering device and building to house the incineration equipment.
● Incineration takes up a fairly small footprint when compared to other technologies.  Will likely not be feasible in a non-attainment area.</t>
  </si>
  <si>
    <t xml:space="preserve">● Requires a dewatering device and in most cases lime is mixed with the solids in a pug mill or other mixing device, however, there are a few installations where lime is added prior to dewatering.  </t>
  </si>
  <si>
    <t>● Consumes a relatively large footprint for digester tanks and they are typically sized for &gt; 60 day HRT at peak month or peak 15 day conditions to meet EPA Class B requirements for wastewater that is at 10°C.  Shorter HRTs can be used but then site specific pathogen testing is required to ensure Class B.
● Dewatering and other further processes may be desired after digestion to reduce volume and hauling requirements.</t>
  </si>
  <si>
    <t xml:space="preserve">● Requires a relatively small footprint compared to other stabilization technologies.
● Reduces volume for disposition.
● Does not require chemical additives.
● Generates a potentially marketable product.
● Proven process with several established vendors.
</t>
  </si>
  <si>
    <t xml:space="preserve">Gasiﬁcation is a process used to convert organic waste to a fuel gas called syngas, and has been practiced since the 1800s to generate fuel gas from coal and other biomass. Syngas is composed mainly of CO, CO2, H2 and CH4 and has a low heating value of 120-150 British Thermal Units (BTU)/cubic feet (cu. ft.), which is approximately 25% of the heat value of biogas generated from anaerobic digestion. The heat value of the syngas can, however, be increased if steam or enriched air (mostly oxygen) is used as the gasification medium.
The final product is an inert ash, slag or biochar that will either be beneficially used or disposed of in the landfill.
Although gasification is common in many industries, gasification of biosolids is still considered innovative as defined by the EPA. Currently, there are several biosolids gasification installations worldwide.  One of the larger differences between traditional organic materials used as the fuel source in gasification and biosolids is the higher ash content of biosolids. </t>
  </si>
  <si>
    <t>● Requires upstream dewatering and drying but generally consumes a relatively small footprint.</t>
  </si>
  <si>
    <t xml:space="preserve">● Potential for lower emissions than incineration technologies.
● Energy and electrical production potential.
● Stabilization (digestion) of biosolids is not required - raw dewatered sludge has higher thermal content than digested biosolids.
● Complete destruction of pathogens and organic portion of the feed.
● Minimize hauling and disposition of biosolids
● Potential to generate “green energy”.
</t>
  </si>
  <si>
    <t xml:space="preserve">● Limited commercial scale experience for biosolids. 
● High capital costs.
● Air permits likely required and may be difficult to differentiate from incineration.
● Potential for ash and slag to fuse and generate Clinkers.  Some systems may not be suitable with some sludge’s depending on ash softening and melting point temperatures.
● Chemical consumption for flue gas and or syngas polishing.
</t>
  </si>
  <si>
    <t>Influent Load for Calculations (mg/L)</t>
  </si>
  <si>
    <t>Habitat / Wildlife / Biodiversity Benefit</t>
  </si>
  <si>
    <t>Flooding / Extreme Events Benefit</t>
  </si>
  <si>
    <t>Development</t>
  </si>
  <si>
    <t>Each (On-site PS)</t>
  </si>
  <si>
    <t>Hydroponic Treatment</t>
  </si>
  <si>
    <t>Remarks</t>
  </si>
  <si>
    <t>Implementation</t>
  </si>
  <si>
    <t xml:space="preserve">Requires more data for regulatory approval.  Pilot study likely, requiring establishment of baseline water quality and monitoring once pilot project is online.  The pilot study results will likely be used to determine the effectiveness and efficiency of the technology before allowing full implementation.
Other wetlands type systems (e.g. Ocean Arks) utilizing plants in reactor basins have shown that little of the nutrients are taken up by plants and that the roots and root hairs mimic fixed film reactors thereby providing the bulk of the treatment.  In natural wetlands, most of denitrification occurs through anoxic sediments with labile carbon.  These are the main conditions that a constructed wetland would have to mimic.  It would seem that these should accept secondary treated effluent at a minimum, not primary treatment.  The removal rates exceed natural wetlands and therefore would have to be managed carefully to achieve these high removal rates.
May required a NPDES discharge permit.  Level of pretreatment, particularly is primary treatment sufficient or may require a minimum of secondary treatment.  Need storage of effluent during non-growing season.
 There is a wide range of reported removal rates because efficiency depends on many factors, e.g., carbon availability, DO, fraction N as NO3, loading rate, etc.  Review Kadlec for data on systems with similar operating conditions to those proposed rather than just taking an average value.  Also, there are some wastewater treatment wetlands used year-round in cold climates and some operating techniques have been developed to improve performance during cold months.
The vegetation aren't "filtering" anything but providing substrate and a carbon source. 
Constructed Wetlands with Free Water Surface for wastewater and stormwater treatment: The projected nitrogen and phosphorus removal contained in the matrix on a percentage basis is higher than may have reported by other parties. Nutrient removal may vary depending on the water depth, temperature, hydraulic residence time, hydro-period (e.g. less light in the winter means plant and algae activity diminishes) and density and type of plant species. Nutrient transformation is also provided by algae and bacteria in addition to the plant uptake mentioned. Shallower water depths may promote greater denitrification. Nutrient removal rate will diminish when system is overloaded, so setting the effluent loading rate is key to providing sustained long term treatment. Having disturbed soils as indicated may not increase hydraulic residence time. Siting in previously disturbed soils requires careful geotechnical investigation. It indicates ideal if parcel intersects with 50 – 100 foot “buffer zone.” I’m not sure if this refers to the 100-foot buffer zone. If the constructed wetland is proposed within the wetland buffer zone, it would require permitting pursuant to Wetland regulations. A setback of at least 50-horizontal feet, if not greater, between the treatment system and a wetland resource area may be advisable to prevent short circuiting of the treatment. Groundwater mound forms under the constructed wetland due to the presence of the permanent pool. This mound will merge with the piezometric surface of the water table. Since nitrates are highly soluble, once they get in the groundwater, they will be able potentially at the speed of the wetting front. The soil in such an instance may serve as main mechanism to slow the nitrate movement. Closer distance to wetland means more nitrates potentially may flow into the wetland more quickly. This would argue for establishing greater wetland setback. Vegetation may need to be harvested on regular basis to provide actual nutrient removal. Otherwise vegetation dieback in winter releases nutrients in constructed treatment wetland. Comments/questions asks “wetland effluent discharged into a water body or used for open space irrigation.” Discharging to wetland resource area requires permitting pursuant to Wetlands regulations. Provided a NPDES individual wastewater authorization is granted, Wetlands issuing authority would have to presume water quality criteria is met and could only review construction related impacts. All wetland resource areas are not equal. Larger systems such as rivers or ocean are able to assimilate greater amounts of nutrients through dilution than smaller wetland systems. Plus the nature of the wetland, coastal or inland is important. To reduce nitrogen effects on coastal wetlands, the treatment system discharge should ideally be directed to 1) recharge, and 2) inland rivers of sufficient size to dilute any nutrients remaining in the effluent. Phosphorus remaining in the effluent is concern for inland rivers, so increasing the hydraulic residence time and disposing the treated effluent via recharge beds would be preferable approach as far as wetlands permitting is concerned. Plus, recharge would assist in maintaining base flows to nearby wetland resource areas.                                                         </t>
  </si>
  <si>
    <t xml:space="preserve">Impact may be limited based on overall contribution from fertilizers.
Potentially an easy way of removing substantial nutrients from the system.  This should be required to be part of any nutrient reduction program.
Source reduction makes the most sense. Avoids reliance on voluntary implementation which is  not required.  This is often ignored but a definite contributing component. </t>
  </si>
  <si>
    <t>Unknown</t>
  </si>
  <si>
    <t xml:space="preserve">● Requires larger land area than tertiary treatment.  
● Disinfection of wetland influent may be required.  
● May require an NPDES permit.  
● May require a pilot study, long-term monitoring and reporting.  
● Vegetation harvesting may need to be performed periodically.
● May require fencing and security measures.   
● May attract water fowl which could only N issue. 
● These systems on the Cape may need to be lined to prevent complete infiltration and allow time for N removal rather than just putting N into groundwater.
● May Need storage of effluent during non-growing season.
*Systems not designed to remove phosphorus.  Phosphorus removal in these smaller systems requires lengthy retention times and/or use of specialized media to increase sorption    
**Based on 44,000GPD / 2.08 acre total treatment area for Fields of St Croix constructed wetland system in Lake Elmo, MN      </t>
  </si>
  <si>
    <t>● Higher maintenance in first few years.
● May require carbon source initially. 
● Can become clogged over time.  Phosphorous removal may decline over time.
● May require fencing and security measures.   
● May attract water fowl which could aggravate N issue.  
● In addition, on the Cape, these systems may need to be lined to prevent complete infiltration and allow time for N removal rather than just putting N into groundwater.</t>
  </si>
  <si>
    <t>● Require high energy and maintenance costs as these systems are generally constructed in greenhouses.
●  Low phosphorus removal rates.</t>
  </si>
  <si>
    <t>● Achieves nitrogen removal.</t>
  </si>
  <si>
    <t>● Achieves high nitrogen removal.</t>
  </si>
  <si>
    <t>● Relatively low capital and operating cost.
● No above ground structures.   
● High removal efficiency.</t>
  </si>
  <si>
    <t>● Relatively low capital and operating cost.
● Very little to no above ground structures.   
● High removal efficiency.</t>
  </si>
  <si>
    <t>● Resulting nutrient removal rates are highly dependent on homeowner / landowner behavior and participation in the program.
● Requires a significant number of citizens to participate to be effective.
● Still requires septic tank and leaching field for grey water.
● The proprietary nature of this technology will impose high fees for waste removal and maintenance. Agree Concerns with waste management and collection.</t>
  </si>
  <si>
    <t xml:space="preserve">● Resulting nutrient removal rates are highly dependent on homeowner / landowner behavior and participation in the program.
● Requires a significant number of citizens to participate to be effective.
● Requires a company infrastructure to pick up package. On-● Tight tank for urine storage requires.  In general, the plastic storage tank is designed to hold 600 liters. </t>
  </si>
  <si>
    <t>● Minimal implementation cost, 
● Reduction of fertilizer costs to homeowners/landowners due to reduced use.</t>
  </si>
  <si>
    <t>● Resulting nutrient removal rates are highly dependent on homeowner / landowner behavior and participation in the program.
● Site-specific assessments are needed to estimate load reductions.</t>
  </si>
  <si>
    <t>● Shifts the nitrogen load from more environmentally sensitive areas
● Potentially lowers infrastructure and O&amp;M costs as housing density is allowed/encouraged in village, economic centers, or other compact development.</t>
  </si>
  <si>
    <t>● Commodity transferred must provide financial and/or regulatory incentive to transfer .development potential from one place to another.
● Requires adoption of a zoning bylaw amendment that authorizes landowners to transfer development rights.</t>
  </si>
  <si>
    <t xml:space="preserve">● Returns estuary to more natural hydrologic regime.
● Generally less scour and deposition.
● Low incremental O&amp;M costs.
● Sustainable technology.
● Increased tidal flushing decreases nitrogen residence time and average concentrations in estuaries and tidal marshes upstream of bridges and culverts (take it out description and add it as advantage).
● Larger openings increase flow capacity and thus tend to reduce flow velocities.
● Larger openings provide increased capacity for flood flows resulting in less overtopping of roadways.
● Larger openings provide for debris passage and thus reduce the potential for snags and clogging.  This reduces maintenance costs.
● Depending on the size of the bridge/culvert the increased size could allow for public access via boat and/or kayak to the upstream estuary or from the estuary to the downstream creek or beach.
●  May  have additional benefits for AOP.
</t>
  </si>
  <si>
    <t>● Widening a tidal culvert or bridge could increase the depth of flooding during high tides and storm surges in flood prone area and upstream of the structure.
● Disruption of coastal processes must be considered.
● Can have significant construction impacts.
● Permitting requirements may be extensive and time consuming.
● Modeling is required to accurately predict the upstream tidal and coastal process impacts of the culvert/bridge modifications that can be costly.
● Will only "return an estuary to a more natural hydrologic regime" if the original opening has been restricted.</t>
  </si>
  <si>
    <t xml:space="preserve">● Large land area required per amount of nitrogen removed.  
● Requires existing open space for construction.
</t>
  </si>
  <si>
    <t>● Permitting requirements may be extensive and time consuming.
● Testing of sediment required.  
● Dredging can be highly disruptive to biological communities.
 ● Depending on what other contaminants may be present in the sediments, disposal of the sediments may be costly.</t>
  </si>
  <si>
    <t>● Negligible nutrient removal.
● Replacement system may be costly depending on design of the original system, land limitations, Board of Health regulations.</t>
  </si>
  <si>
    <t xml:space="preserve">● Potential reduced capital costs over conventional collection systems.
● Small-diameter pipe (nominal depth)  easily installed.
● Not easily expanded in response to growth.
● Does not require land acquisition.
</t>
  </si>
  <si>
    <t>● Requires pump installation on private property</t>
  </si>
  <si>
    <t>● Institutional controls may be necessary to ensure systems are functioning properly.
● Requires construction on private property.
● Septage (grease and sludge) must be pumped from each individual septic tank
● Anaerobic septic tanks generate odors and methane gas.
● May require electric service upgrade.</t>
  </si>
  <si>
    <t>● Requires periodic maintenance of the basins.
● Requires large area of open land.
● Potential safety concerns.</t>
  </si>
  <si>
    <t>● Relatively high capital and O&amp;M cost
● Extensive permitting issues (Possible Interbasin Transfer, etc.).
● Siting and abutter issues.
● Discharge sub watershed and watershed must be able to handle the additional nutrient load.</t>
  </si>
  <si>
    <t xml:space="preserve">● Reliance on Others.
● Not A Sludge Reuse Option.
● Uncertain Long-Term Costs.
● Does not address disposal of grit and screenings.  Grit and screenings are typically hauled and dealt with separately so there should be a separate line items for this function.  </t>
  </si>
  <si>
    <t>● Not a Reuse Option.
● Land Intensive and NIMBY Issues.
● Potential for Odors.
● Long-Term Monitoring Required.
● High Initial Capital Cost if new landfill is required to be constructed.
● Not sustainable in the long term.</t>
  </si>
  <si>
    <t>● Relatively high O&amp;M cost.
● Many systems are labor intensive.
● Reliance on demand for end product.
● Market study needed.
● Sludge type assessment required.
● Winter months impact distribution and marketing and wintertime storage is typically required.
● Potential for odors and typically not well suited for raw primary sludges.</t>
  </si>
  <si>
    <t>● Eliminates pathogens and toxic compounds.
● Potential energy recovery.
● Significant volume reduction.
● Byproduct is an inert sterile ash.
● Small footprint.
● Well proven  technology.</t>
  </si>
  <si>
    <t>● High capital cost.
● High O&amp;M.
● Significant emission and regulatory requirements especially with newer SSI rules.
● Requires highly skilled personnel to operate.
● May require supplemental fossil fuels.
● May not be feasible in a non-attainment area.
● Complex process with lots of instrumentation and controls (mainly for flue gas treatment).
● Potential for public opposition.
● Requires ash disposal or beneficial use location.</t>
  </si>
  <si>
    <t xml:space="preserve">● Simple to Operate.
● Can be designed to meet Class A or Class B requirements for pathogen and vector attraction reduction.
● Simple technology requiring few special skills for reliable operation.
● Easy to construct of readily available parts.
● Small land area required.
● Flexible operation, easily started and stopped.
</t>
  </si>
  <si>
    <t>● The resulting product is not suitable for use on all soils. 
● Volume of final material is increased which increases transportation costs.
● Odor and dust potential.
● Potential for pathogen regrowth if the pH drops below 9.5 while the material is stored prior to use.
● Plant available nitrogen and phosphorous content is reduced.</t>
  </si>
  <si>
    <t xml:space="preserve">● Well proven process.
● Potential for electrical energy and heat recovery from biogas.
● Good pathogen inactivation.
● Operationally quite stable once started.
● Low net energy requirements.
● Odor potential is low for anaerobic digestion with proper operation.
● Low operating costs.
● Stabilized and reduces the volume of residual solids for disposition or reuse.
</t>
  </si>
  <si>
    <t xml:space="preserve">● Relatively high capitals cost.
● Large fuel requirements.
● Payback from sale of Class A product may not “pay back” high operating costs.
● Potential to create dust.
● Fire and explosion risks.
● Relatively complex system, requires highly trained operating staff.
● Odor potential.
● Potential for odorous and dusty end product.
</t>
  </si>
  <si>
    <t xml:space="preserve">● The incineration process demolishes any nutrients found in human waste - meaning it cannot be used for nourishing soil. It saves water, but uses more energy.
● Resulting nutrient removal rates are highly dependent on homeowner / landowner behavior and participation in the program.
● Requires a significant number of citizens to participate to be effective.
● Still requires septic tank and leaching field for grey water.
● The proprietary nature of this technology will impose high fees for waste removal and maintenance. Agree Concerns with waste management and collection.
</t>
  </si>
  <si>
    <t>Pond and Estuary Circulators</t>
  </si>
  <si>
    <t xml:space="preserve">● Site specific requirements based on the characteristics of the estuary or pond. 
● A location(s) within the estuary or pond to permanently locate floating island. </t>
  </si>
  <si>
    <t>● Site specific requirements based on the characteristics of the estuary. 
● Suitable substrate in saltwater/estuarine environments.
● Suitable area within estuary to seed and grow shellfish..</t>
  </si>
  <si>
    <t>Energy Savings / Nutrient Recovery / Recycling Benefit</t>
  </si>
  <si>
    <t>Green Space / Conservation / Recreation Benefit</t>
  </si>
  <si>
    <t>● Low capital and annual O&amp;M costs.  
● Easy to install.
● Nutrient uptake is not seasonal as microbes in the root zone uptake nutrients year around.
● The nutrient and groundwater uptake vary based on the plants and/or trees</t>
  </si>
  <si>
    <t>Title 5 Septic System Replacement 
(Base Line Condition)</t>
  </si>
  <si>
    <t>Percent
Labor</t>
  </si>
  <si>
    <t>Effluent Disposal - Drip Irrigation</t>
  </si>
  <si>
    <t>Septic Tank Effluent, Secondary Effluent
Advanced Effluent</t>
  </si>
  <si>
    <t>Chemical Treatment of Ponds</t>
  </si>
  <si>
    <t>?</t>
  </si>
  <si>
    <t>● Targets pollutants at the source.
● Incinerating toilets do not use water, resulting in no waste of water.  The ash left behind after incineration is sterile, and safe for disposal.  They are portable, easy to install and use, and work no matter how cold the weather. They are ideal for isolated locations, where there may be no water, sewage lines, or power.</t>
  </si>
  <si>
    <t>● Expensive capital cost, might require services for maintaining treatment unit.</t>
  </si>
  <si>
    <t>● Reuse and recycle treated grey water, reduce municipal water supply, potentially enhance the resilience of water supply.</t>
  </si>
  <si>
    <t>● Generate electricity and heat for community, create jobs, reduce and treat solid waste; New business opportunity.</t>
  </si>
  <si>
    <t xml:space="preserve">● Expensive capital cost, Requires lots of independent citizen to change systems to be cost effective. </t>
  </si>
  <si>
    <t>Potential Land Use Implication That May Require Growth Management Modifications</t>
  </si>
  <si>
    <t>● Increase cost for pilot study.
● Increase cost for permitting.</t>
  </si>
  <si>
    <t>● Increase cost for permitting.</t>
  </si>
  <si>
    <t>● Increase cost for pilot study.
● Increase cost for permitting.
● Increase cost for local oversight/management.</t>
  </si>
  <si>
    <t>● Increase cost for permitting.
● Increase cost for local oversight/management.</t>
  </si>
  <si>
    <t>● Increase cost for local oversight/management.</t>
  </si>
  <si>
    <t>● Increase cost for planning study.
● Increase cost for permitting.</t>
  </si>
  <si>
    <t>● Increase cost for design.
● Increase cost for permitting.
● Increase cost for long term monitoring.</t>
  </si>
  <si>
    <t>● Increase cost for design.
● Increase cost for permitting.
● Increase cost for regulatory changes required.</t>
  </si>
  <si>
    <t>● Increase cost for pilot study.
● Increase cost for design.
● Increase cost for permitting.
● Increase cost for long term monitoring.</t>
  </si>
  <si>
    <t>● Decrease cost for design.
● Decrease cost for permitting.</t>
  </si>
  <si>
    <t>● Increase cost for hydro-geo study.
● Increase cost for permitting.</t>
  </si>
  <si>
    <t>● Increase cost for long term monitoring.</t>
  </si>
  <si>
    <t>● Decrease cost for design.
● Decrease cost for permitting.
● Increase cost for long term monitoring.</t>
  </si>
  <si>
    <t>● Increase cost for design.
● Increase cost for permitting.</t>
  </si>
  <si>
    <t>Infrastructure to Consider when Designing and Pricing Technology / Strategy</t>
  </si>
  <si>
    <t>Technology / Strategy</t>
  </si>
  <si>
    <t xml:space="preserve">● Well proven process.
● Good pathogen inactivation.
● Odor potential is low for aerobic digestion with proper operation.
● Simple to operate.
● Stabilizes and reduces the volume of residual solids for disposition or reuse.
</t>
  </si>
  <si>
    <t>● Collection System 
● Wastewater Treatment  
● Effluent Disposal
● Solids Collection, Treatment and Disposal</t>
  </si>
  <si>
    <t>● Collection System 
● Effluent Disposal
● Solids Collection, Treatment and Disposal</t>
  </si>
  <si>
    <t>● Wastewater Treatment  
● Effluent Disposal
● Solids Collection, Treatment and Disposal</t>
  </si>
  <si>
    <t>● Collection System 
● Wastewater Treatment  
● Solids Collection, Treatment and Disposal</t>
  </si>
  <si>
    <t>● Solids Collection, Treatment and Disposal</t>
  </si>
  <si>
    <t xml:space="preserve">● Collection System 
● Wastewater Treatment  
● Effluent Disposal
</t>
  </si>
  <si>
    <t>● Collection System 
● Wastewater Treatment  
● Effluent Disposal</t>
  </si>
  <si>
    <t>● Returns estuary to more natural hydrologic regime.
● Generally less scour and deposition.
● Low incremental O&amp;M costs.
● Sustainable technology.
● Allows for the growth of native species along with biodiversity.
● Provides pH buffer through carbon sequestration
● Allows for sediment accretion.
● Provides water filtration resulting in less turbidity and better water quality.</t>
  </si>
  <si>
    <t>● Returns estuary to more natural hydrologic regime.
● Low incremental O&amp;M costs.
● Sustainable technology.
● Returns estuary to more natural hydrologic regime.
● Allows for the growth of native species along with biodiversity.
● Provides water filtration resulting in less turbidity and better water quality.</t>
  </si>
  <si>
    <t>● Returns estuary to more natural hydrologic regime.
● Generally less scour and deposition.
● Low incremental O&amp;M costs.
● Sustainable technology.
● Returns estuary to more natural hydrologic regime.
● Sustainable technology.
● Allows for the growth of native species along with biodiversity.
● Provides water filtration resulting in less turbidity and better water quality.</t>
  </si>
  <si>
    <t>● Returns estuary to more natural hydrologic regime.
● Generally less scour and deposition.
● Low incremental O&amp;M costs.
● Sustainable technology.
● Returns estuary to more natural hydrologic regime.
● Allows for the growth of native species while increasing biodiversity.
● Provides water filtration resulting in less turbidity and better water quality.</t>
  </si>
  <si>
    <t xml:space="preserve">Once the wastewater has been collected and treated at a WWTF, the treated wastewater (effluent) is generally disposed of to groundwater.  drip irrigation uses small  diameter, porous tubing to discharge the effluent within a foot of the ground surface and within the root zone of vegetation.  The plants uptake a portion of the discharge including nitrogen and phosphorus, lowering nitrogen and phosphorus concentration before reaching the water table. 
Drip irrigation can potentially be used with septic system and I/A septic systems to further nitrogen and phosphorus discharge concentrations.  As with discharges from WWTFs, nitrogen and phosphorus uptake occurs in the root zone of plants.  There is also a potential cost savings installing drip irrigation instead of conventional leachfields or soil absorption systems.
</t>
  </si>
  <si>
    <t>Surface Waters</t>
  </si>
  <si>
    <t>Phosphate</t>
  </si>
  <si>
    <t>Concerns about a connection between aluminum and Alzheimer’s have been debated for some time. More recent research points to
a gene rather than aluminum as the cause. In addition, aluminum
is found naturally in the environment.</t>
  </si>
  <si>
    <t>● Site specific requirements based on the characteristics of the estuary or pond.
● A location(s) within the estuary or pond to locate a floating island year around.</t>
  </si>
  <si>
    <t xml:space="preserve">Vegetative Tertiary Filter or VTF. The VTF incorporates the functionality of constructed wetlands
by using peat for final polishing to remove trace contaminants such as endocrine disrupting compounds,
pharmaceuticals, and personal care products (EDC/P/PCP).
Our sand filter will consume runoff from the division ramp which will transport decomposed waste from the digester. Sand filters are used to treat water through a self-contained bed of sand consisting of three basins in which plants use the separated waste as compost. The first layer removes heavy sediment in which the plants breakdown as use of fertilizer. The second is the filtration chamber which removes other pollutants, and the last is the discharge chamber in which the cleaner water is discharged. The water can be discharged into a drainage system or directly to surface water such as a river or lake. Our sand filter safely removes sediment, metals, bacteria, oil, grease, and organics while leaving the remaining nutrients. The filter also has an agricultural function as crops can be grown on top. The soil in the filter is highly fertile as the runoff from the digester acts as a fertilizer for crops giving the sand filter a dual purpose.
</t>
  </si>
  <si>
    <t>(1) O&amp;M of 4 hours per week at $75,000/year for a 1 acre basin.
(2) Sizing at 4 gallons per day per square foot.</t>
  </si>
  <si>
    <t>(1) Sizing at 3 gallons per day per square foot.</t>
  </si>
  <si>
    <t>Potential for Revenue Generation</t>
  </si>
  <si>
    <t>● Dosage is dependent on the source of the phosphorus and size of water body to be treated. 
● Guidelines for alum application require that the ph remain with
the 5.5-9.0 range.</t>
  </si>
  <si>
    <t>Bottomless Sand Filters</t>
  </si>
  <si>
    <t>Wastewater is applied under low pressure to the top of a 2foot deep bed of sand media through a PVC-pipe distribution system. The distribution network is embedded in pea stone to protect it. Wastewater percolates down through the sand media and into the understory soil. Media filters with an open bottom are specifically intended to disperse wastewater into the soil immediately under and adjacent to their footprint. Unlike single-pass sand filters, the bottomless version is not buried, in order to allow for sufficient gas exchange between the filter and the atmosphere. The filter can either be installed at-grade, with 6 to 10 inches of the filter above the ground surface, or above grade, with 2 to 3 feet of filter above grade.</t>
  </si>
  <si>
    <t>Vegetated Sand Filters</t>
  </si>
  <si>
    <t xml:space="preserve">● Binds with phosphorus not allowing it to be used by algae reducing algal blooms..
● Low O&amp;M costs.
</t>
  </si>
  <si>
    <t>● Must meet Board of Health standards.
● May require Title 5 replacement/upgrade.</t>
  </si>
  <si>
    <t>1 to 10</t>
  </si>
  <si>
    <t xml:space="preserve"> 1 to 3</t>
  </si>
  <si>
    <t xml:space="preserve"> 1 to 10</t>
  </si>
  <si>
    <t>0.5 to 3</t>
  </si>
  <si>
    <t>1 to 5</t>
  </si>
  <si>
    <t>0.5 to 1</t>
  </si>
  <si>
    <t>Cluster Treatment System - Single-stage</t>
  </si>
  <si>
    <t>Toilets: Composting</t>
  </si>
  <si>
    <t>Toilets: Incinerating</t>
  </si>
  <si>
    <t>Toilets: Packaging</t>
  </si>
  <si>
    <t>Toilets: Urine Diverting</t>
  </si>
  <si>
    <t>Floating Constructed Wetlands</t>
  </si>
  <si>
    <t>● GW depth &gt; 4 feet.
● &gt;4' depth to GW, footprint is greatly scalable,</t>
  </si>
  <si>
    <t>Acre</t>
  </si>
  <si>
    <t>Septage Processing</t>
  </si>
  <si>
    <t>Gallon</t>
  </si>
  <si>
    <t>Land Cost</t>
  </si>
  <si>
    <t>Phytoirrigation</t>
  </si>
  <si>
    <t>Groundwater
Stormwater</t>
  </si>
  <si>
    <t>● Periodic laboratory analysis of influent and effluent for nutrients and other site specific compounds.</t>
  </si>
  <si>
    <t>● 2 to 4</t>
  </si>
  <si>
    <t>● $2,500 to $5,000</t>
  </si>
  <si>
    <t>● Will likely require meeting stringent and costly water reuse regulations including increased treatment and monitoring requirements.
● Plants can only be irrigated during growing season (about 3 months).
● For tree systems, it takes several years before plants are mature enough to uptake the take maximum number of gallons per day requiring the effluent be held in holding ponds until the irrigation season.</t>
  </si>
  <si>
    <t>Evaluation Monitoring</t>
  </si>
  <si>
    <t>Estimated Years of Evaluation Monitoring Required</t>
  </si>
  <si>
    <t>Long-Term O&amp;M Monitoring</t>
  </si>
  <si>
    <t>● Periodic laboratory analysis of influent and effluent for nutrients, microbes, VOCs and other compounds.
● Periodic laboratory analysis of groundwater for nutrients, microbes, VOCs and other compounds.</t>
  </si>
  <si>
    <t>Estimated Annual Long- Term O&amp;M Monitoring Costs</t>
  </si>
  <si>
    <t>$10,000 to $15,000</t>
  </si>
  <si>
    <t>Periodic Visual Inspections.</t>
  </si>
  <si>
    <t>● Periodic Visual and Homeowner Compliance Inspections.</t>
  </si>
  <si>
    <t>$200 to $300</t>
  </si>
  <si>
    <t>● Periodic laboratory analysis of WWTF effluent for nutrients, microbes, VOCs and other compounds.
● Periodic laboratory analysis of groundwater for nutrients, microbes, VOCs and other compounds.</t>
  </si>
  <si>
    <t>● Periodic laboratory analysis of surface waters for nutrient, microbe, and other compounds.
● Periodic laboratory analysis of shellfish meat and shell for nutrient concentrations and other compounds.
● Periodic vegetative assessment.</t>
  </si>
  <si>
    <t>● Periodic laboratory analysis of influent and effluent for nutrients, microbes, VOCs and other compounds.
● Periodic laboratory analysis of groundwater for nutrients, microbes, VOCs and other compounds.
● Periodic vegetative assessment.</t>
  </si>
  <si>
    <t>● Periodic laboratory analysis of groundwater for nutrients, microbes, VOCs and other compounds.</t>
  </si>
  <si>
    <t>$15,000 to $25,000</t>
  </si>
  <si>
    <t>● Periodic laboratory analysis of pond sediments and vegetative assessment.</t>
  </si>
  <si>
    <t>Useful Life (Number of Years)</t>
  </si>
  <si>
    <t>1 - 10 mg/L N
0.5 - 3 mg/L P</t>
  </si>
  <si>
    <t>0.5 - 2.5 mg/L N</t>
  </si>
  <si>
    <t>1 - 20 mg/L N
0.5 - 10 mg/L P</t>
  </si>
  <si>
    <t>M</t>
  </si>
  <si>
    <t>H</t>
  </si>
  <si>
    <t>N</t>
  </si>
  <si>
    <t>L</t>
  </si>
  <si>
    <t>Fertigation Wells - Turf</t>
  </si>
  <si>
    <t>See notes under composting toilets.</t>
  </si>
  <si>
    <t>Appears to require substantial re-plumbing of the system and sufficient basement/lower level area for waste storage.  Unclear how the waste would be removed from the house and then where the waste would go for processing/treatment.
This is essentially bagging human waste for curbside pickup.  While this should be listed to document consideration, this is one alternative that should be dropped from further consideration based on public health concerns of residents actually having to handle their waste.
Source reduction makes the most sense.  More information on package disposal is warranted.
See notes under composting toilets.</t>
  </si>
  <si>
    <t>Appears to require substantial re-plumbing of the system and sufficient basement/lower level area for waste storage.  Unclear how the waste would be removed from the house and then where the waste would go for processing/treatment.
This only addresses urine and does not consider treatment of fecal waste or grey water.  End use needs to be fully defined as combinations of reclamation (P recovery) or direct use as fertilizer.  Latter involves some public health concerns.
Source reduction makes the most sense but to the extent that groundwater inputs will continue to provide loadings to the estuaries, this would have to be supplemented with other measures.
Avoided fertilizer by utilizing the collected urine which can be used as fertilizer to replace synthetic fertilizer.   Tight tank for urine storage requires.  In general, the plastic storage tank is designed to hold 600 liters. 
See notes under composting toilets.</t>
  </si>
  <si>
    <t>Effectiveness of these treatment systems is generally well documented.
A single poorly managed I/A system only disrupts flow from one location.  A poorly managed shared A/I technology disrupts flow from many.  Prefer to see dispersal of final treated effluent over a broader landscape as apposed to a central location if an issue arises.
Systems need to be watched or remotely monitored.  
Monitoring online should be a requirement so owners can monitor their system's performance</t>
  </si>
  <si>
    <t xml:space="preserve">Systems need to be watched or remotely monitored.  </t>
  </si>
  <si>
    <t>Monitoring online should be a requirement so owners can monitor their system's performance</t>
  </si>
  <si>
    <t>A single poorly managed I/A system only disrupts flow from one location.  A poorly managed shared A/I technology disrupts flow from many.  Prefer to see dispersal of final treated effluent over a broader landscape as apposed to a central location if an issue arises.
Systems need to be watched or remotely monitored.  
Monitoring online should be a requirement so owners can monitor their system's performance</t>
  </si>
  <si>
    <t xml:space="preserve">Need to take care with potentially changing habitats.
</t>
  </si>
  <si>
    <t>● Reduced cost for engineering.
● Reduced cost for permitting.
● Increase cost for local oversight/management.</t>
  </si>
  <si>
    <t>Aquaculture - Mariculture</t>
  </si>
  <si>
    <t>Aquaculture - Shellfish Cultivated In Estuary Bed</t>
  </si>
  <si>
    <t>● Suitable area within estuary to cultivate mariculture.</t>
  </si>
  <si>
    <t>● Low cost per pound of nitrogen removed.
● Potential positive economic impacts.
● One of few approaches to effectively sink natural nitrogen sources.
● Can help manage clean water of silt.
● Can improved water quality parameters in addition to nitrogen.
● Provides carbon sequestration and  can buffer ocean acidification.
● Increases biodiversity and supports plant life survivability for eel grass and other species.
● Increases critical commercial and recreational fish populations.
● Economic benefits (commercial shellfish harvesting).</t>
  </si>
  <si>
    <t>● Low cost per pound of nitrogen removed.
● Potential positive economic impacts.
● One of few approaches to effectively sink natural nitrogen sources.
● Can help manage soil and silt run-off and buffers against coastal erosion.
● Can improved water quality parameters in addition to nitrogen.
● Provides carbon sequestration and  can buffer ocean acidification.
● Increases biodiversity and supports plant life survivability for eel grass and other species.
● Increases critical commercial and recreational fish populations.
● Economic benefits (commercial shellfish harvesting).
● Aquaculture can enhance other types of benthic denitrification rates, but the rate is variable.</t>
  </si>
  <si>
    <t>● Low cost per pound of nitrogen removed.
● Potential positive economic impacts.
● One of few approaches to effectively sink natural nitrogen sources.
● Can improved water quality parameters in addition to nitrogen.
● Increases biodiversity and supports plant life survivability for eel grass and other species.
● Increases critical commercial and recreational fish populations.</t>
  </si>
  <si>
    <t>● May not be applicable in all watersheds due to growing conditions, aesthetics or navigation.
● Seasonal nitrogen uptake although coincident with natural cycle and algal blooms.
● Requires removal of shellfish. in order to take credit for nitrogen removal.
● Nitrogen uptake subject to possible disruption due to disease or population crash.
● Population monitoring is important to maintain persistence of the benefit.
● Large concentrations of shellfish can generate waste products, reduce dissolved oxygen levels, and possibly generate ammonia.
● Shellfish will undergo rapid growth to a marketable size after which they must be harvested. The entire process is then be repeated. If this is not economically viable for harvesting and selling the shellfish, the harvested shellfish will have to be disposed of. 
● Can require large areas to gain significant nitrogen removal.
● If the  waterbody is closed for shell fishing, management of the shellfish by the town (or other) will be required to prevent the shellfish from getting into the food supply.</t>
  </si>
  <si>
    <t>Cost per Pound of Nitrogen Reduction</t>
  </si>
  <si>
    <t>Cost per Kilogram of Nitrogen Reduction</t>
  </si>
  <si>
    <t>Cost per Pound of Phosphorous Reduction</t>
  </si>
  <si>
    <t>Cost per Kilogram of Phosphorous Reduction</t>
  </si>
  <si>
    <t>Replacement  / Upgrade Cost</t>
  </si>
  <si>
    <t>Total Replacement / Upgrade Cost</t>
  </si>
  <si>
    <t xml:space="preserve">Pounds of
Nitrogen
Removed </t>
  </si>
  <si>
    <t>Kilograms of
Nitrogen Removed</t>
  </si>
  <si>
    <t>Pounds of
Phosphorous Removed</t>
  </si>
  <si>
    <t>Kilograms of
Phosphorous Removed</t>
  </si>
  <si>
    <t>BCCR Amortized Average Cost for Nutrient Reducing Technology
Cost/kg N (see Note 9)</t>
  </si>
  <si>
    <t xml:space="preserve">Estimated Annual Evaluation Monitoring Costs </t>
  </si>
  <si>
    <t>Phosphorous</t>
  </si>
  <si>
    <t>Phosphorous
(mg/L)</t>
  </si>
  <si>
    <t>Nitrogen
(mg/L)</t>
  </si>
  <si>
    <t>10. H = High; M = Medium; L = Low; and N/A = Not Applicable</t>
  </si>
  <si>
    <t>Aquaculture - Shellfish Cultivated Above Estuary Bed</t>
  </si>
  <si>
    <t>Existing developments or schools with excess wastewater treatment capacity allow existing nearby developments to connect to their underutilized wastewater treatment infrastructure.</t>
  </si>
  <si>
    <t>Both Compact Development and Open Space Residential Development (OSRD) of subdivisions result in smaller lots and less maintained lawn acres.  The higher density development reduces wastewater collection costs while providing a common disposal area.</t>
  </si>
  <si>
    <t>Surface Water Remediation Wetlands are constructed to aid in water quality improvements to surface water bodies, usually streams or rivers.  Water is pumped or allowed to flow naturally through treatment cells containing wetlands.  Surface water remediation wetlands are often used in combination with groundwater recharge or potable water reuse systems.  Surface water remediation wetlands are generally used with FWS wetlands due to their larger size, and lower capital and O&amp;M Costs.</t>
  </si>
  <si>
    <t>Standard septic system consisting of a septic tank and soil adsorption system (leaching field).</t>
  </si>
  <si>
    <t>Innovative/Alternative (I/A) on-site denitrifying systems typically consist of standard septic system components augmented to remove nutrients.  I/A systems are commercial, proprietary systems intended to be designed as recirculating sand filter (RSF) equivalent by meeting the same treatment limits in a smaller footprint.  Total N &lt;19 mg/L.</t>
  </si>
  <si>
    <t xml:space="preserve">Enhanced I/A systems for TMDL compliance.  Enhanced I/A (RSF Equivalent) to achieve 50% would definitely require chemical systems to reliably meet such limits that would  target near 10 mg/L for TN to consistently meet design of 13 mg/L.  Nitrogen levels are typically treated to 10 to 13 mg/L.
</t>
  </si>
  <si>
    <t>A single-stage cluster system is an I/A system generally treating wastewater flows greater than 2,000 gallons per day.  Several homes or businesses discharge to and are treated at a common I/A system.  Nitrogen levels are typically treated to below 15 mg/L.</t>
  </si>
  <si>
    <t>Two-stage cluster systems are similar to a single-stage cluster system, but require a separate denitrifying process and other facilities to reduce nitrogen levels below that of a single-stage system.  Two-stage systems may require chemical systems and an operator to run the system.  Disinfection may be required if the discharge is located within a Zone II of a public water supply well.  Nitrogen levels are typically reduced to below 8 mg/L.D45</t>
  </si>
  <si>
    <t>A conventional wastewater treatment facility typically treats wastewater from more than 1,000 homes.  Wastewater flows are generally between 330,000 and 1,000,000 gpd.  Nitrogen levels are typically treated to around 10 mg/L.</t>
  </si>
  <si>
    <t>An Advanced wastewater treatment facility typically treats wastewater from more than 1,000 homes (between 330,000 and 1,000,000 gpd).  Nitrogen levels are typically treated to around 5 mg/L.</t>
  </si>
  <si>
    <t xml:space="preserve">Wastewater treatment facility typically treating wastewater from up to 300 homes.  Wastewater flow is between 25,000 and 330,000 gpd.  Nitrogen levels are typically treated to around 10 mg/L.
</t>
  </si>
  <si>
    <t>Satellite wastewater treatment facilities typically treat wastewater from up to 1,000 homes (between 25,000 and 330,000 gpd).  Enhanced wastewater treatment facilities are similar to a satellite wastewater treatment facility, but require a separate denitrifying process and other facilities to reduce nitrogen levels below that of a satellite wastewater treatment facility.  Enhanced facilities will require chemical systems and an operator to run the system.  Disinfection may be required if the discharge is located within a Zone II of a public water supply well.  Nitrogen levels are typically reduced to below 8 mg/L.</t>
  </si>
  <si>
    <t>A conventional collection system is a system of piping and pumps used to collect and convey raw wastewater from homes and businesses to a WWTF.  The system may consist of a combination of gravity and force mains, low pressure sewer with individual service pumps, and vacuum systems with a dedicated vacuum station serving multiple collection structures.</t>
  </si>
  <si>
    <t>A septic tank effluent gravity (STEG) system consists of on-site piping that collects wastewater from septic tanks and conveys it to a WWTF for treatment.  Gravity sewers convey the wastewater from on-site tanks to the sewer system.  Only the liquid component of the wastewater only can be conveyed by gravity.</t>
  </si>
  <si>
    <t xml:space="preserve">A septic tank effluent pump (STEP) system consists of on-site piping and pumps that collects wastewater from septic tanks and conveys it to a WWTF for treatment.  Small diameter low-pressure sewers convey the wastewater from on-site tanks to the sewer system.  Only the liquid component of the wastewater can be conveyed by pumps.  </t>
  </si>
  <si>
    <t xml:space="preserve">Once the wastewater has been collected and treated at a WWTF, the treated wastewater (effluent) is generally disposed to groundwater through an infiltration basin.  An infiltration basin is an unlined basin or pit excavated at the ground surface.  The effluent is discharged into the pit where it percolates into the underlying soils recharging, the groundwater.
</t>
  </si>
  <si>
    <t>Once the wastewater has been collected and treated at a WWTF, the treated wastewater (effluent) is generally discharged to groundwater.  A subsurface soil absorption system (SAS) is a subsurface means of discharging WWTF effluent.  A SAS is similar to a leachfield, and can be installed below ball fields, parks, parking lots and open space areas.</t>
  </si>
  <si>
    <t xml:space="preserve">Once the wastewater has been collected and treated at a WWTF, the treated wastewater (effluent) is generally disposed to groundwater.  Injection wells are a series of wells that are capable of injecting WWTF effluent into groundwater.  If geologic conditions are right, an injection well can discharge the effluent deep in the aquifer where it may not resurface until it reaches the ocean.  Injection wells require a highly treated effluent for injection, but have the advantage of using only a fraction of the land area required for an equivalent discharge through infiltration basins or SAS systems.
</t>
  </si>
  <si>
    <t>Once the wastewater has been collected and treated at a WWTF, the treated wastewater (effluent) is generally disposed to groundwater.  Wicks are large diameter conduits of stone that allow for the rapid infiltration of effluent to the underlying groundwater.  The effluent is discharged into a wick (two to six feet in diameter) where it is infiltrated into the aquifer until it reaches the ocean.  Wicks do not require a highly treated effluent like injection wells, but they still have the advantage of using only a fraction of the land area required for an equivalent discharge through infiltration basins and SAS systems.</t>
  </si>
  <si>
    <t>Contract with a service company to pick-up, haul and dispose of sludge.  The service company is responsible for providing tank trucks to pick-up and haul the sludge at appropriate intervals and making arrangements for the sludge to be further processed for beneficial use or disposal at a suitable facility.</t>
  </si>
  <si>
    <t>Composting is an aerobic process in which biodegradable material is decomposed by aerobic microorganisms in a controlled environment.  The heat generated in composting pasteurizes the product, significantly reducing pathogens. The heat generated also drives off water vapor, further dewatering the product and reducing reuse volume. Composting that is performed according to regulatory guidelines produces Class A Biosolids.  Composting that is performed properly produces a nuisance-free humus like material.  The three different methods of composting typically used for wastewater sludge are aerated static pile, windrow, and in-vessel composting.  All composting processes generally include common basic steps.  First, the dewatered sludge is mixed with an amendment and/or bulking agent to increase porosity of the mixture and provide a carbon source to improve the degradability of the compost.  A rule of thumb for composting is to have a 25 – 35 to one ratio of carbon to nitrogen (mass basis). The resulting mixture is piled or placed in a vessel where microbial activity causes the temperature to rise starting the “active composting” period. The desired temperature required for optimal operation and end quality vary based on the method of composting and desired use of the end product.  After the “active composting” period is complete, the material is cured and distributed.</t>
  </si>
  <si>
    <t>Incineration or advanced thermal oxidation is a combustion reaction that occurs in the presence of excess oxygen.  Incineration is the most commonly used thermal conversion process practiced for sewage sludge today.  Fluid Bed and Multiple Hearth Incineration are established technologies and are the most common types of incineration used for sewage sludge.  Multiple Hearth Incineration is now considered an outdated technology and very few if any new systems are being constructed.  Incineration of sludges converts the waste into ash, flue gas, and heat.  Flue gas treatment is required and the EPA has recently implemented strict air permitting regulations and control limits for new sewage sludge incinerators.  In some cases, the heat generated by incineration can be recovered for electrical generation or other waste heat purposes.</t>
  </si>
  <si>
    <t>Lime stabilization involves addition of lime to biosolids in order to raise the pH to levels unfavorable for pathogen growth. The heat produced by the reaction of the lime with the water in the biosolids raises the pH and temperature of the biosolids sufficiently to comply with EPA’s 40CFR Part 503 regulations for pathogen destruction for either Class A or Class B biosolids.  The process converts sewage sludge into a stable product, improves the density and physical handling characteristics of the biosolids and offers a cost-effective, flexible, and environmentally protective alternative that promotes beneficial reuse.  The lime stabilized biosolids provide a rich source of essential fertilizer to farmland, improve acidic soils, and are excellent for land reclamation and as soil substitute for landfill cover or as soil conditioner.</t>
  </si>
  <si>
    <t>Conventional high rate anaerobic digestion involves the decomposition of organic matter and inorganic matter in the absence of oxygen.  The decomposition process produces a digester gas that consists of mostly methane (~65%) and carbon dioxide (~35%).  Anaerobic digestion of municipal wastewater solids can, in many cases, produce sufficient digester gas to meet the energy requirements of digestion and other plant operations.  Therefore, due to the emphasis on energy conservation and recovery, the process continues to be advantageous for stabilizing solids.  In principle, the conversion of organic matter to carbon dioxide and methane reduces biological solids leaving the digestion process.  Digestion can reduce the total volume of solids to be dewatered and the polymer cost for dewatering.  The process is typically operated at mesophilic conditions (~35°C) but some plants also operate at thermophilic conditions (~55°C) to increase reaction rate and provide a greater degree of pathogen reduction.</t>
  </si>
  <si>
    <t>Aerobic digestion is a well proven process and is similar to activated sludge processes used in secondary treatment.  Under aerobic conditions, microbes rapidly consume organic matter and convert it into carbon dioxide.  Once there is a lack of organic matter, bacteria die and are used as food by other bacteria and this stage of the process is known as endogenous respiration.  Aerobic digestion is most commonly practiced at plants rated for less than 5 MGD.  Aerobic digestion typically yields high volatile solids destruction, has a low BOD concentration in the side streams from dewatering, produces a relatively odorless stable end product, maintains a high nutrient value in the biosolids, is simple to operate and involves relatively low capital costs.  The aerobic process, however, requires a lot of air input which causes the process to have a high electrical consumption.  The resulting liquid biosolids are typically difficult to dewater.  The process is also very dependent on operating conditions and does not produce a useful energy producing byproduct (methane) like anaerobic digestion.  Conventional Aerobic digestion produces Class B biosolids.</t>
  </si>
  <si>
    <t>Thermal dryers come in several types, all of which operate with the goal of decreasing water content in wastewater sludge.  Drying is typically used in the last stage of solids processing and is done in combination with a dewatering process.  Dryers are typically fed with dewatered sludge at approximately 10-35% DS and dry the biosolids to 90-96% DS.  Sludge fed to dryers can be either undigested or digested dewatered sludge, although some vendors have restrictions with handling undigested primary sludge.  As a general rule upstream digestion is typically recommended for primary sludge due to potential for odors in the final product.  Dryers are able to produce Class A biosolids which can be beneficially used for land spreading.  Even if beneficial use is not the desired option, the drying process greatly reduces the storage, transportation and disposal cost since it significantly lowers the water content and reduces the weight.  The dried biosolids can also be used as a renewable energy source.  Dryers are generally classified as either direct (convective) dryers or indirect (conductive) dryers.  Direct dryers use a drying medium such as hot air, which comes in direct contact with the sludge to increase the sludge temperature through convective heat transfer and evaporate the water in the sludge.  Indirect dryers use a medium such as hot oil or steam that heats the sludge through a conducting surface, so that the heating medium does not come in direct contact with the sludge.</t>
  </si>
  <si>
    <t>Treatment Systems</t>
  </si>
  <si>
    <t>On-Site Treatment Systems</t>
  </si>
  <si>
    <t>Stormwater BMP - Gravel Wetland</t>
  </si>
  <si>
    <t>Stormwater BMP - Vegetated Swale</t>
  </si>
  <si>
    <t>● Increase cost for permitting
● Increase cost for local oversight/management.</t>
  </si>
  <si>
    <t>● Very easily scalable.
Treats stormwater runoff
• Reduces peak stormwater flows
• Provides local flood control
• Improves quality of local surface waterways
• Enhances the beauty of residential, commercial or
industrial sites
• Provides wildlife habitat
• Reduces soil erosion
• Provides effective year-round stormwater treatment in
cold climates</t>
  </si>
  <si>
    <t>Coastal Habitat Restoration</t>
  </si>
  <si>
    <t>Stormwater BMP Phytobuffers</t>
  </si>
  <si>
    <t>Constructed Wetlands - Groundwater Treatment</t>
  </si>
  <si>
    <t>3 - 35 mg/L N
1 - 5 mg/L P</t>
  </si>
  <si>
    <t>Potential Permitting Agencies</t>
  </si>
  <si>
    <t>● Increase cost for pilot study.
● Increase cost for local oversight/management.</t>
  </si>
  <si>
    <t>Constructed Wetlands - Subsurface Flow</t>
  </si>
  <si>
    <t>● Undeveloped land &gt; 5 Acre.
● Outside all wetlands resource areas. 
● Outside 100 year flood hazard zone.
● Groundwater separation - GW depth &gt; 4 feet.
● Not within priority habitat areas.
● Not within protected open space. 
● Benefit if site has clay based soils, has disturbed soils, parcel intersects with 50 to 100 foot Buffer zone, has municipal ownership. 
● No steep topography.</t>
  </si>
  <si>
    <t>● Undeveloped land &gt; 0.5 Acre.
● Outside all wetlands resource areas. 
● Outside 100 year flood hazard zone.
● Groundwater separation - GW depth &gt; 4 feet.
● Not within priority habitat areas.
● Not within protected open space. 
● Benefit if site has clay based soils, has disturbed soils, parcel intersects with 50 to 100 foot Buffer zone, has municipal ownership.
● No steep topography.</t>
  </si>
  <si>
    <t>● Undeveloped land &gt; 1 Acre.
● Outside all wetlands resource areas. 
● Outside 100 year flood hazard zone.
● Groundwater separation - GW depth &gt; 4 feet.
● Not within priority habitat areas.
● Not within protected open space. 
● Benefit if site has clay based soils, has disturbed soils, parcel intersects with 50 to 100 foot Buffer zone, has municipal ownership. 
● No steep topography.</t>
  </si>
  <si>
    <t>● Undeveloped open land &gt; 1 acre.
● GW depth &gt; 4 feet.
● Permeable soils.
● Outside all wetlands resource areas. 
● Outside 100 year flood hazard zone.</t>
  </si>
  <si>
    <t xml:space="preserve">● Increase cost for pilot study.
● Increase cost for permitting.
● Increase cost for local oversight/management.
● May require storage or alternate disposal when unable to irrigate.
</t>
  </si>
  <si>
    <t>Draft MS-4 will be instructing towns to design systems that will help mitigate pollutants where there is an approved TMDL.  Towns will need to start thinking about certain contaminants and treating for them.
Good management practices, but will be difficult to quantify effect.
EPA updating stormwater regulations (see Southeast Watershed Alliance website for an example).
Siting requirements are all site specific, the reality is that there are only a few systems effective at N removal.
Street sweeping study conducted by USGS for MassDEP provided removal rate for total phosphorus of 9% with three times per week sweeping, 8% for monthly sweeping, using a regenerative-air sweeper.  Mechanical broom sweepers were found to have lower removal efficiency (3% TP removal for three times per week sweeping, and 1.4% TP removal for monthly sweeping).  The USGS study was conducted in Cambridge which has urban tree network. In locations with less tree canopy, phosphorus removal efficiency would likely be less, because the street load is less.
Towns should review requirements in permit requiring impervious surfaces – i.e. towns tend to oversize parking areas for commercial facilities.</t>
  </si>
  <si>
    <t>Draft MS-4 will be instructing towns to design systems that will help mitigate pollutants where there is an approved TMDL.  Towns will need to start thinking about certain contaminants and treating for them.</t>
  </si>
  <si>
    <t>Time for Results to Improve Estuary Water body
(Years)</t>
  </si>
  <si>
    <t xml:space="preserve">● Agricultural bio-produce can be produced and sold (biofuel, hay etc.).  
● Lower capital cost than tertiary treatment.  
● Potentially a good strategy for areas where more effluent is generate during the summer (plant growing season.  
● Bio solids can also be applied.
</t>
  </si>
  <si>
    <t xml:space="preserve">● Agricultural bio-produce can be produced and sold (biofuel, hay etc.).  
● Lower capital cost than tertiary treatment.  
● Potentially a good strategy for areas where more effluent is generate during the summer (plant growing season.  
● Biosolids can also be applied.
</t>
  </si>
  <si>
    <t>MassDEP
US EPA
Board of Health
Army Corps or Engineers
Division of Marine and Fisheries
Other:
Conservation Commission
Natural Heritage
The Nature Conservancy</t>
  </si>
  <si>
    <t xml:space="preserve">● May not be applicable in all watersheds due to growing conditions, aesthetics or navigation.
● Seasonal nitrogen uptake although coincident with natural cycle and algal blooms.
● Requires removal of vegetation in order to take credit for nitrogen removal.
● Nitrogen uptake subject to possible disruption due to disease or other. 
●  Growth and harvest monitoring is important to maintain persistence of the benefit.
</t>
  </si>
  <si>
    <t xml:space="preserve">Pilot study likely requiring establishment of baseline water quality and monitoring once pilot project is online.  The pilot study results will likely be used to determine the effectiveness and efficiency of the technology before allowing full implementation.
Need to work closely with the ongoing Cape demonstration projects to evaluate those data. 
Some areas have had to use horse mussels instead of blue mussels and oysters.  
Will need to coordinate with Division of Marine Fisheries (DMF).
Towns may want to consider looking at mariculture instead of oyster aquiculture.  Mariculture uses seaweeds to reduce nitrogen loads.
There is some concern over habitat displacement.  Care will need to be taken when placing aquiculture projects.
Aquaculture is a biological system.  Mariculture can be susceptible to disease, mass die-offs, etc.  This needs to be factored in when  designing a nitrogen removal plan, specifically, aquaculture should not be the only strategy incase of a mass die-off.
Towns need to consider other issues that relate to maintenance of living organisms
Hyannis and long island have mariculture projects.  May want to discuss with them.
</t>
  </si>
  <si>
    <t>● Suitable groundwater flow path (depth to intercept groundwater). 
● Generally at least 20 feet of saturated aquifer thickness is desired
● Relatively level site.
● Ready access for construction 
● Access to sites up gradient or down gradient to allow groundwater monitoring.
● Limited vegetation, Limited public utilities.
● Permitting requirements if used in or near wetlands. 
●Construction cost based on width of 3 feet width, and an overall depth of 40 feet (using existing trenching equipment - deeper in installations are possible using injection well PRBs described below).</t>
  </si>
  <si>
    <t>● Siting can be limited by wetlands,  public utilities and abutter concerns.  
● Detailed knowledge of local groundwater hydrology.
● Projects may require a hydrogeologic investigation and groundwater modeling to estimate effectiveness of PRB.
● Permitting requirements may be extensive and time consuming.
● Projects may require extensive groundwater monitoring early in the project to quantify nitrogen load reduction.
● Projects may require  groundwater monitoring near or in embayments as well as monitoring of vegetation and benthic monitoring where groundwater surfaces in the receiving estuary.</t>
  </si>
  <si>
    <t>● Periodic laboratory analysis of groundwater for nutrients, microbes, VOCs and other compounds.
● Projects may require extensive groundwater monitoring early in the project to quantify nitrogen load reduction.
● Projects may require  groundwater monitoring near or in embayments as well as monitoring of vegetation and benthic monitoring where groundwater surfaces in the receiving estuary.</t>
  </si>
  <si>
    <t>Pilot study likely requiring establishment of baseline water quality and monitoring once pilot project is online.  The pilot study results will likely be used to determine the effectiveness and efficiency of the technology before allowing full implementation.
Need to monitor the Falmouth demonstration projects for local data.  Need to insure entire plume is intercepted, evaluate longevity.  Potentially involves significant permitting issues depending upon location.
This Phosphate removal range seems high for homeowner systems that are retrofitted.
A Big issue will be carbon source life expectancy and its replacement, especially for homeowner systems.  Another is siting the PRB...it needs to be down gradient of the leach field, which is not always intuitively obvious, and it is doubtful that a decent investigation will identify GW flow for homeowner systems. 
PRBs for existing septic systems could be a remarkably effective solution on the Cape and demonstration projects are recommended.</t>
  </si>
  <si>
    <t>● Suitable groundwater flow path (depth to intercept groundwater). 
● Generally at least 20 feet of saturated aquifer thickness is desired
● In general, the injection well PRB can be installing areas with steeper topography than a trench PRB..
● In general, the injection well PRB can be installing areas where utilities limit the installation of trench PRBs..
● Ready access for construction 
● Access to sites up gradient or down gradient to allow groundwater monitoring.
● Permitting requirements if used in or near wetlands. 
●Construction cost based on 20-foot spacing between injection wells installed to an overall depth of 40 feet. Deeper installations are possible.</t>
  </si>
  <si>
    <t>● Siting can be limited by wetlands,  public utilities and abutter concerns.  
● Detailed knowledge of local groundwater hydrology.
● Large projects may require a hydrogeologic investigation and groundwater modeling to estimate effectiveness of PRB.
● Permitting requirements may be extensive and time consuming.
● Projects may require extensive groundwater monitoring early in the project to quantify nitrogen load reduction.
● Projects may require  groundwater monitoring near or in embayments as well as monitoring of vegetation and benthic monitoring where groundwater surfaces in the receiving estuary.</t>
  </si>
  <si>
    <t>● Fertigation wells should be located down gradient of nutrient source areas such as wastewater treatment plant disposal fields and compact development.
● They can also be positioned down gradient of high-density subdivisions where they might capture nutrients derived from both septic systems and residential lawns.
● The specific locations, depths and diameters can be optimized using standard hydrogeologic principles.</t>
  </si>
  <si>
    <t>● Seasonal technology potentially requiring several capture wells to capture entire nutrient plume.
● Most effective in areas where groundwater contains a "plume" of high concentration of nutrients (i.e. down gradient of a WWTF discharge, etc.).  
● Need an area to irrigate for nutrient uptake.
● May require monitoring.</t>
  </si>
  <si>
    <t>Fertigation Wells - Cranberry Bogs</t>
  </si>
  <si>
    <t>● Fertigation wells should be located down gradient of nutrient source areas such as wastewater treatment plant disposal fields, golf courses, and athletic fields.
● They can also be positioned down gradient of high-density subdivisions where they might capture nutrients derived from both septic systems and residential lawns.
● The specific locations, depths and diameters can be optimized using standard hydrogeologic principles.</t>
  </si>
  <si>
    <t>Falmouth pilot in progress 1 year - 2 units installed 2013 + 13 units pending.  Pilot program offers $5,000 'incentive' but cost to purchase is at least $3,000 not including installation by licensed plumber. Septic system still required for grey water sources.
100% TN removal addresses black water only.  How is grey water handled?  Recent local data suggests that grey water has concentration of 10 mg/L TN.  Actual load will depend on flow rate, but grey water TN needs to be addressed nonetheless.
Grey water only septic system data implies up to 10% N in grey water, so 95% removal in previous cell maybe too high? Source reduction makes the most sense.
Lots of information on Univ. of Rhode Island (URI)( and George Heufelder’s web pages.
Since there is an array of different kinds of I/A systems, this will require long term monitoring and maintenance.
Agencies need to be open minded and proactive on piloting new technologies. 
Need to define what is the market for some of these technologies - CC, south coast, long Island Sound, Chesapeake Bay area and associated states.  Most of the north east has similar conditions for I/A systems.
Most existing systems will need to be replaced over the next 20 years, so good opportunity for piloting for future systems.
Should consider using eco-toilets in areas where sea level rise and storm surge may be a concern - rather than septic and I/A systems
Falmouth demonstration project for eco-toilets and UD systems already underway.</t>
  </si>
  <si>
    <t>A packaging toilet encapsulates human waste in a durable material for removal from the site.  The package is stored beneath the toilet and removed and taken away when full.  The nutrients can be recycled by the servicing company that picks up the packages.  Household water use (i.e.. sink and shower uses) continue to flow to the septic system.</t>
  </si>
  <si>
    <t>Projected benefits need to be established through modeling.  Best if demonstrated to restore a restricted (occluded) inlet to a natural condition.
Inlet/Culvert or Culvert/Bridge widening are consistent with Massachusetts Stream Crossing Standards enforced through wetland regulations for aquatic organism and wildlife passage.  However, there will be concerns about minimizing wetland loss or changing the wetland type at the widening location. Wetlands permitting is required. 
The proposed widening included in what the Wetlands Program perceived as a salt marsh loss, which would be replaced by inland wetlands.  Salt marsh may not be disturbed under Wetland regulations even for widening of stream crossings. This illustrates that collateral impacts to wetlands must be reviewed even for projects that on the surface appear straightforward.
Increased flushing may drain one side of the culvert, however doing so may simply allow more flux of higher concentration groundwater, so this may be a zero sum game and would require further study.
Need to consider impact people’s property.  People often have converted areas that were once high salt marsh to  yard.  People concerned at loss of yard, trees, etc.
In general, an increase in the tidal exchange is considered a benefit where estuaries have become blocked over time or if tidal flush is restricted by manmade structures.</t>
  </si>
  <si>
    <t xml:space="preserve">(1) Freeman and Everhart (1971) - constant flow bioassays, to determine that concentrations of dissolved aluminum below 52  g Al/L had no obvious effect on rainbow trout. Similar results have been observed for salmon.
(2) Cooke, et al (1978) - Adopted 50 mg Al/L as a safe upper limit for post-treatment dissolved aluminum concentrations. 
(3) Kennedy and Cooke (1982) - Indicate that dissolved aluminum concentrations, regardless of dose, would remain below 50  g Al/L in the pH range 5.5 to 9.0, a dose producing post
treatment pH in this range could also be considered environmentally safe with respect to aluminum toxicity.
(4) March 2003 - Wisconsin Department of Natural Resources, Alum Treatments to Control Phosphorus In Lakes.  
(5) AECOM (2006) - Treatment Summary for Phosphors Inactivation in Long Pond, Brewster and Harwich MA. Concentration  from the sediment entering the water column is variable. Study of Long Pond in Harwich/Brewster showed concentrations  of available phosphorus within the sediment ranged from 0.6 to 4.6 g/m2 based on year 2000 data for the upper 4 cm of sediment. More recent data collected by the Town of Brewster indicates a very similar range of 0.7 to 4.5 g/m2.  A summer release of 0.6 g/m2 with only 10% reaching the epilimnion could raise the phosphorus concentration by more than 0.02 mg/L and support algal blooms.405 kg/yr (65%) to the upper waters out of a total load of between 606 and 651 kg/yr.
(6) AECOM 2009 - Minneapolis MN Parks and Recreation Board 
</t>
  </si>
  <si>
    <t>Need to define purpose.  Is it only for sequestration (or removal) of nutrient laden sediments or is it to rehabilitate a pond to increase attenuation efficiency?  If the latter, more data is needed.
Does act to removal nutrients. Requires 401 permitting if greater than 100 cubic yards.  Also requires wetlands permitting.  Testing of sediment required to determine disposal or reuse options. Because of prevalence of heavy metals, 401 testing requires testing for heavy metals concentration.  Some applicants have been surprised at level of testing required (and cost to conduct tests, when they only want to get rid of the nutrients).  Over-dredge for purposes of stormwater management not allowed under 401 and Wetland regulations.  Estuary dredging is highly disruptive to biological communities including bottom dwelling filter feeding organisms, that provide secondary basis to food chain to support fish communities caught by commercial fishermen. 
Quality of sediments a can very leading to high variance in disposal costs.
Need to define what the goals is dredging: for boat traffic, to improve flushing, improve intertidal area
Need to evaluate essential fish habitats.
Regulatory agencies do not look favorably on converting habitat types (fresh water to saline or vise versa)
.
If planning on dredging, the regulatory agencies should be notified early and often.
Need to consider whether dredging will be less than or greater than 5 meters deep.  Could make a difference in permitting..</t>
  </si>
  <si>
    <t>● Requires conveyance of solids contained in raw sewage that could additional maintenance (i.e. pigging, flushing).</t>
  </si>
  <si>
    <t xml:space="preserve">● Relatively large footprint when compared to alternative stabilization technologies.
● High capital cost.
● Recovers slowly from upset.
● Cleaning is difficult (scum and grit).
● May experience foaming.
● High ammonia concentration in cent rate following dewatering.
● If reuse options for solids residuals are not available, significant landfill disposal can be required.
● Potential for Struvite (magnesium ammonium phosphate) formation forming a scale on lines and clogs system pipes.
</t>
  </si>
  <si>
    <t xml:space="preserve">● Relatively large footprint when compared to tentative stabilization technologies.
● High operating costs due to electrical consumption
● If reuse options for solids residuals are not available, significant landfill disposal can be required.
● Does not produce a useful byproduct (methane) for renewable energy production.
</t>
  </si>
  <si>
    <t xml:space="preserve">(1) One of the most common solids processing technologies used with hundreds of installations.
(2) Cost information from EPA Fact sheets as available and previous AECOM projects.
(3) Capital and O&amp;M do not include dewatering costs.
</t>
  </si>
  <si>
    <t>● Requires upstream dewatering but generally consumes a relatively small footprint.
● Many times it is desired to couple thermal dryers with anaerobic digestion to allow digester gas or CHP waste heat to be used to help reduce operating costs. 
● Digestion also improves the quality and reduces the odors in the final product, especially if the plant generates primary sludges.</t>
  </si>
  <si>
    <t>● MassDEP
● Board of Health
● Department of Public Works
● Conservation Commission
● Natural Heritage
● The Nature Conservancy
● Mass Historical Commission
● Building Department</t>
  </si>
  <si>
    <t>● MassDEP
● Department of Public Works
● Board of Health
● Conservation Commission
● Natural Heritage
● The Nature Conservancy
● Mass Historical Commission
● US Army Corps or Engineers
● Division of Marine and Fisheries
● US Fish and Wildlife Service
● Building Department
● Land Owner</t>
  </si>
  <si>
    <t>● MassDEP
● US EPA
● MassDOT
● Department of Public Works
● Board of Health
● Conservation Commission
● Natural Heritage
● The Nature Conservancy
● Mass Historical Commission
● US Army Corps or Engineers
● Division of Marine and Fisheries
● US Fish and Wildlife Service
● Building Department
● Land Owner</t>
  </si>
  <si>
    <t>● MassDEP
● US EPA
● MassDOT
● Department of Public Works
● Board of Health
● Conservation Commission
● Natural Heritage
● The Nature Conservancy
● Mass Historical Commission
● US Army Corps or Engineers
● Division of Marine and Fisheries
● US Fish and Wildlife Service</t>
  </si>
  <si>
    <t>● MassDEP
● Department of Public Works
● Board of Health
● Conservation Commission
● MassDOT
● Natural Heritage
● The Nature Conservancy
● Mass Historical Commission
● US Army Corps or Engineers
● US Fish and Wildlife Service
● Land Owner</t>
  </si>
  <si>
    <t>● MassDEP
● Department of Public Works
● Board of Health
● Conservation Commission
● Natural Heritage
● The Nature Conservancy
● Mass Historical Commission
● US Army Corps or Engineers
● US Fish and Wildlife Service
● Land Owner</t>
  </si>
  <si>
    <t>● MassDEP
● Board of Health
● Building Department</t>
  </si>
  <si>
    <t>● MassDEP
● Department of Public Works
● Board of Health
● Building Department</t>
  </si>
  <si>
    <t xml:space="preserve">● Board of Health
● Department of Public Works
● Building Department
● Conservation Commission
● Natural Heritage
● The Nature Conservancy
● Mass Historical Commission
</t>
  </si>
  <si>
    <t>● MassDEP
● US EPA
● MassDOT
● Department of Public Works
● Board of Health
● Conservation Commission
● Natural Heritage
● The Nature Conservancy
● Mass Historical Commission
● US Army Corps or Engineers
● Division of Marine and Fisheries
● US Fish and Wildlife Service
● Coastal Zone Management</t>
  </si>
  <si>
    <t>Current ENR</t>
  </si>
  <si>
    <t>ENR</t>
  </si>
  <si>
    <t>per acre</t>
  </si>
  <si>
    <t>P</t>
  </si>
  <si>
    <t>Aquaculture</t>
  </si>
  <si>
    <t>PRBs</t>
  </si>
  <si>
    <t>(1)  A Comparison of Maintenance Cost, Labor Demands, and System Performance for LID and Conventional Stormwater Management. Journal of Environmental Engineering; January 25, 2013
(2) University of New Hampshire Stormwater Center, 2013 Annual Report;
(3) In general very similar principals, removal and sizing/removal rates as FWS wetlands but need to take into consideration episodic flow events vs. regular flow events.
(4) USEPA Fact Sheet: http://water.epa.gov/infrastructure/septic/upload/wetlands-subsurface_flow.pdf</t>
  </si>
  <si>
    <t>(1) New process with only a few references in North America with the  most well known being Sanford, FL.
(2) A Plain English Guide to the EPA Part 503 Biosolids Rule.
(3) EPA (2006) Biosolids Technology Fact Sheet - Heat Drying.
(4) Cost information from EPA Fact sheets as available and previous AECOM projects.</t>
  </si>
  <si>
    <t>Current Project Cost (PV)</t>
  </si>
  <si>
    <t>Current Annual O&amp;M Cost</t>
  </si>
  <si>
    <t>March 2014 Annual O&amp;M Cost</t>
  </si>
  <si>
    <t>March 2014 Construction Cost (PV)</t>
  </si>
  <si>
    <t>Current Construction Cost (PV)</t>
  </si>
  <si>
    <t>Nitrogen
Phosphorus
Sediment
Reduce amount of Direct Discharge to Groundwater</t>
  </si>
  <si>
    <t>Nitrogen
Phosphorus
Reduce amount of Direct Discharge to Groundwater</t>
  </si>
  <si>
    <t xml:space="preserve">Septic Tank Effluent
Primary Effluent 
Secondary Effluent
</t>
  </si>
  <si>
    <t>(1) A Plain English Guide to the EPA Part 503 Biosolids Rule.
(2) Cost not included as this is completely be dependent on local outlets.  Many times hauling and tipping fee costs are the main drivers for different technologies.</t>
  </si>
  <si>
    <t xml:space="preserve">(1) A Plain English Guide to the EPA Part 503 Biosolids Rule.
      </t>
  </si>
  <si>
    <t>(1) A Plain English Guide to the EPA Part 503 Biosolids Rule.
(2) One of the most common solids processing technologies used with hundreds of installations.
(3) Cost information from EPA Fact sheets as available and previous AECOM projects.
(4) Capital and O&amp;M do not include dewatering costs.</t>
  </si>
  <si>
    <t>(1) Relatively common process but there are a wide range of dryer types available.
(2) A Plain English Guide to the EPA Part 503 Biosolids Rule.
(3) EPA/625/R-92/013, Chapter 4
(4) Cost information from EPA Fact sheets as available and previous AECOM projects.</t>
  </si>
  <si>
    <t>(1) More than 204 installations nationwide (144 Multiple Hearth and 60 Fluid Bed). 
(2) A Plain English Guide to the EPA Part 503 Biosolids Rule.
(3) Metcalf &amp; Eddy (1991). Wastewater Engineering Treatment and Reuse 3rd Edition
(4) EPA (2003) “Biosolids Technology Fact Sheet – Use of Incineration for biosolids Management”.
(5) “Standards of Performance for New Stationary Sources and Emission Guidelines for Existing Sources: Sewage Sludge Incineration Units,” 76 Federal Register 54 (March 21, 2011), pp. 15372-15454.
(6) Cost information from EPA Fact sheets as available and previous AECOM projects.</t>
  </si>
  <si>
    <t>(1) More than 300 installations nationwide.
(2) A Plain English Guide to the EPA Part 503 Biosolids Rule.
(3) Metcalf &amp; Eddy (1991). Wastewater Engineering Treatment and Reuse 3rd Edition.
(4) EPA (2002) Biosolids Technology Fact Sheet – Use of Composting for biosolids Management.
(5) EPA (2002) Biosolids Technology Fact Sheet – In-Vessel composting of Biosolids.
(6) Cost information from EPA Fact sheets as available and previous AECOM projects.</t>
  </si>
  <si>
    <t xml:space="preserve">(1) US EPA Website on Basic information about  Injection Wells
     </t>
  </si>
  <si>
    <t xml:space="preserve">(1) Barnstable County Cost Report, April 2010.
     </t>
  </si>
  <si>
    <t>(1) Barnstable County Cost Report, April 2010.
(2) O&amp;M based on one staff at half time at $75,000/year plus operating costs (electrical, spare parts, etc.)</t>
  </si>
  <si>
    <t xml:space="preserve">(1) Barnstable County Cost Report, April 2010. 
(2) F.R. Mahoney based on Marion service contract; O&amp;M costs typically $45/year over lifetime + $22/year power.  Pump replacement $2,100/unit (2013) based on 25-yr life.  </t>
  </si>
  <si>
    <t>(1) Barnstable County Cost Report, April 2010. 
(2) AECOM; O&amp;M Costs 30% higher than conventional systems. Regular maintenance of main Vacuum PS(daily), vacuum structures (2/year) by staff @ $75/hr. (burdened)</t>
  </si>
  <si>
    <t>(1) Barnstable County Cost Report, April 2010.
(2) Construction and O&amp;M costs based on Sandalwood (Oxford, MA), and Forge Pond (Granby, MA CWMP) with 25 percent increase for additional infrastructure/operations.</t>
  </si>
  <si>
    <t>(1) Barnstable County Cost Report, April 2010.
(2) Construction and O&amp;M costs based on Nantucket, MA, Provincetown, MA, Falmouth, MA and Edgartown, MA with 10 percent increase for additional infrastructure/operations.</t>
  </si>
  <si>
    <t>(1) Barnstable County Cost Report, April 2010.
(2) Construction and O&amp;M costs based on Nantucket, MA, Provincetown, MA, Falmouth, MA and Edgartown, MA.</t>
  </si>
  <si>
    <t>(1) Barnstable County Cost Report, April 2010.
(2) AECOM; O&amp;M Costs based on recommended regular maintenance by staff, and including 10-year cycle servicing/inspections; $2/lf x 2 (5 yr.) Cleaning, $2/lf TV , $75/MH , $500/service connection; Total $1.65-$2.00/ft.  Regular PS &amp; FM maintenance by staff including FM and siphon flushing annually. daily PS inspections x 2 staff @ $75/hr.</t>
  </si>
  <si>
    <t>(1) Barnstable County Cost Report, April 2010.
(2) Construction and O&amp;M costs based on Fruit Street (Hopkinton, MA), Granby, MA CWMP, and Nantucket, MA.</t>
  </si>
  <si>
    <t>(1) Barnstable County Cost Report, April 2010.
(2) Construction and O&amp;M costs based on Harvard Ridge (Boxborough, MA), Granby, MA CWMP, and Oak Hill Village (Franklin, MA).</t>
  </si>
  <si>
    <t>(1) See References - Aquaculture</t>
  </si>
  <si>
    <t xml:space="preserve">(1) Communications with Robert Crook of Floating Islands International.
(2) Project Descriptions at Floating  Islands International
(3) Floating  Islands West LLC 
</t>
  </si>
  <si>
    <r>
      <t xml:space="preserve">(1) Rick Pruetz, </t>
    </r>
    <r>
      <rPr>
        <i/>
        <sz val="10"/>
        <rFont val="Times New Roman"/>
        <family val="1"/>
      </rPr>
      <t>Beyond Takings and Givings</t>
    </r>
    <r>
      <rPr>
        <sz val="10"/>
        <rFont val="Times New Roman"/>
        <family val="1"/>
      </rPr>
      <t>, 2003.
(2) Massachusetts Smart Growth / Smart Energy Toolkit.
(3) This technology should be encouraged, but would be difficult to quantify potential nitrogen reductions without identifying specific preservation areas (sending areas) and specific development districts (receiving areas).</t>
    </r>
  </si>
  <si>
    <t xml:space="preserve">(1) 100% of average nutrient mass excreted per person per day adjusted based on 3 persons / household for Cape Cod.
(2) Construction costs includes cost for plumbing modifications based on 50% the cost of the toilet.
</t>
  </si>
  <si>
    <t>(1) Barnstable County Department of Health and Environment
(2) Eco Toilets, Incinerating Toilets As An Alternative To Flushing Toilets
(3) Nicolet Electric Incinerating Toilets
(4) Construction costs includes cost for plumbing modifications based on 50% the cost of the toilet.</t>
  </si>
  <si>
    <t>(1) Estimated  price range for 3 UD systems. Urine Diversion Systems. Lauren Cole et al. Tufts University.  Semester Research Project.  UEP 0279 Water Resources Policy,  P 18.
(2) Earle Barnhart and Hilde Maingay.  Let No Waste Go to Waste.  Presentation at Howe's House West Tisbury Ma.  Nov. 30 2011.
(3) 80% of average nutrient mass excreted per person per day adjusted based on 3 persons/household for Cape Cod.
(4) SSWR5.1
(5) Stockholm Environment Institute - Urine Diversion One Step Towards Sustainable Sanitation - 2006
(6) Ecovita West
(7) Construction costs includes cost for plumbing modifications based on 50% the cost of the toilet.</t>
  </si>
  <si>
    <t xml:space="preserve">(1) Comparison of Maintenance Cost, Labor Demands, and System Performance for LID and Conventional Stormwater Management, ASCE Journal of Environmental Engineering, Vol. 139, No. 7, July 1, 2013, James J. Houle; Robert M. Roseen, Ph.D., P.E.; Thomas P. Ballestero, Ph.D., P.E.; Timothy A. Puls; and James Sherrard, Jr.
     </t>
  </si>
  <si>
    <t xml:space="preserve">(1) Comparison of Maintenance Cost, Labor Demands, and System Performance for LID and Conventional Stormwater Management, ASCE Journal of Environmental Engineering, Vol. 139, No. 7, July 1, 2013, James J. Houle; Robert M. Roseen, Ph.D., P.E.; Thomas P. Ballestero, Ph.D., P.E.; Timothy A. Puls; and James Sherrard, Jr.
(2)  Subsurface Gravel Wetland, Design Specifications, June 2009,  University of New Hampshire Stormwater Center
(3) Low Impact Best Management Practice (BMP) Information Sheet, Constructed Stormwater Subsurface Gravel Wetland, January 2009, Charles River Watershed Association
     </t>
  </si>
  <si>
    <t xml:space="preserve">(1) Range of summary denitrification numbers provided by John Todd Ecological Design.
(2) Cost/gallon averaged from 3 living machine projects.  EPA.  Wastewater Technology Fact Sheet: Living Machines. 2002.
(3) Averaged mass reduction based on Nitrogen influent-effluent numbers provided for 4 Eco-machine projects and 890,000 gal/27,000 sq. ft. facility size provided by Todd Ecological.
(4) Data based on 890,000 gal/day facility requiring 27,000 sq.ft (0.61 acres) by John Todd Ecological Design.
(5) Data derived from South Burlington Living machine data only - 80,000 gpd system removed 5548 lbs of nitrogen/day at a capital cost of $1.7 million dollars, 0.14 acre site cost  $70,625 to run annually, $70,625 annual O&amp;M cost / 5,548 lbs of N removed / year.
(6) From Eco-Cities to Living Machines: Principles of Ecological Design 
</t>
  </si>
  <si>
    <t>(1) 95% of average nutrient mass excreted per person per day.
(2) Falmouth DPW and WQMC presentation 7-29-13 re Draft FCWMP/FEIR/TWMP.
(3) SSWR5.1 analysis
(4) Estimated that if 30% of Falmouth households use composting toilets, the saved fertilizer cost could amount to $10,000.
(5) US EPA Composting Toilets Fact Sheet
(6) EcoSanRes, Toilets That make Compost, 2007
(7) Peter Morgan, Toilets That Make Compost, 2007
(8) SunMar Toilets
(9) SanCor Industries Toilets
(10) Construction costs includes cost for plumbing modifications based on 50% the cost of the toilet.</t>
  </si>
  <si>
    <t xml:space="preserve">(1) Sand Creek Consultants, 2012, Chris Rog Interview- Offshoots, Inc. precedent study - 4 projects.
(2) Nitrogen concentrations in groundwater are difficult to test.  This is the minimum standard that is know to be removed, but the numbers are likely much higher.
(3) Cost per acre can be as low as 5,000 when small cuttings and no irrigation is used.  Best if used close to higher nitrogen source.  closer to source the better to overcome dispersion or tree use enough water that they pull form a larger area through a cone of depression.
(4) USEPA phytotechnologies Fact Sheet.
     </t>
  </si>
  <si>
    <t xml:space="preserve">(1) Removal efficiency based on Fields of St. Croix constructed wetland project.  Data provided by Bruce Douglas of Natural Systems Utilities. 2012. Interview.
(2) Median Total Nitrogen Removal Rate from Kadlec and Wallace.  Treatment Wetlands 2nd Ed. (p 309).
(3) Capital costs of Fields of St. Croix constructed wetlands system derived by multiplying number of homes connected to system (133) by capital cost per connection ($5524) to derive total capital cost (731,159).  This number was then divided by the total treatment area of the project (2.08 acres) to give $351,519/acre which was adjusted for inflation.  Data derived from Table 2.  Costs for Cluster Wastewater Systems.  Scott. D Wallace and Dennis F. Hallahan.  Proceedings of the 2005 National Onsite Wastewater Recycling Assoc. National Conference.
(4) O&amp;M costs derived by multiplying monthly service charge per connection by total number of connections for the Fields of St. Croix project.  The result was then divided by the total treatment area of the project  (2.08 acres).   Table 3.  Costs for Cluster Wastewater Systems.  Scott. D Wallace and Dennis F. Hallahan.  Proceedings of the 2005 National Onsite Wastewater Recycling Assoc. National Conference.
(5) Wastewater effluent concentrations converted to lbs/gal.  Data taken from Table 3-1.  Constructed Wetlands Treatment of Municipal Wastewaters.  EPA. 1999.
(6) Costs per connection were extrapolated based on total number of connections to derive capital cost.  Capital costs were then divided by design flow (GPD) for each project to derive $/Gal.  Data from Tables 2 and 3.  Costs for Cluster Wastewater Systems.  Scott. D Wallace and Dennis F. Hallahan.  Proceedings of the 2005 National Onsite Wastewater Recycling Assoc. National Conference.
(7) Monthly service charge costs were multiplied by number of homes connected to system and then by 12 to determine yearly service charge.  This product was then divided by design flow to derive $/gal/yr.  However, this is the cost to users, not necessarily the O&amp;M cost, cause it includes $ paid by users for future necessary replacements.  Data from Tables 2, 3 and 4.  Costs for Cluster Wastewater Systems.  Scott. D Wallace and Dennis F. Hallahan.  Proceedings of the 2005 National Onsite Wastewater Recycling Assoc. National Conference.
(8) Flow range of 3 precedents evaluated by Offshoots, Inc., June 2013.
(9) 1 acre of  SSF CTW will treat 50-75 homes/acre Total Nitrogen at 330 gpd. Assumptions: Q= 330 gpd (1.25 mg/l); Ci = 20 mg/l; Ce = 5 mg/l (TN), k (areal removal rate constant): 4-15 m/yr. C* = 0 mg/l (background).  Equates to 0.015 to 0.025 acres/330 gpd.
(10) USEPA Wetlands Free Surface Water Flow Fact Sheet
</t>
  </si>
  <si>
    <t>$2,500 to $5,000</t>
  </si>
  <si>
    <t>Permeable Reactive Barriers (PRBs)</t>
  </si>
  <si>
    <t xml:space="preserve"> feet</t>
  </si>
  <si>
    <t>N Captured</t>
  </si>
  <si>
    <t xml:space="preserve"> kg/lf</t>
  </si>
  <si>
    <t>PRB Length</t>
  </si>
  <si>
    <t>CCC 208 Plan</t>
  </si>
  <si>
    <t>● GW depth &gt; 4 feet.
● Footprint is greatly scalable.</t>
  </si>
  <si>
    <t>● Suitable substrate in saltwater/estuarine environments.
● Suitable area within estuary to seed and cultivate shellfish.</t>
  </si>
  <si>
    <t>● Suitable area within estuary to seed and cultivate shellfish.</t>
  </si>
  <si>
    <t>Input Cell</t>
  </si>
  <si>
    <t>Flow per Home</t>
  </si>
  <si>
    <t>Engineering News Records (ENR)</t>
  </si>
  <si>
    <t>Input table used to update the Technology Costs to current day values based on ENR Current Cost Index or Projected Cost Index.</t>
  </si>
  <si>
    <t>Input table used to update the estimated purchase costs of an acre of land.</t>
  </si>
  <si>
    <t>● Consumes a relatively large footprint for digester tanks and they are typically sized for &gt; 15 day HRT at peak month or peak 15 day conditions to meet EPA Class B requirement.
● Dewatering and other further processes may be desired after digestion to reduce volume and hauling requirements.</t>
  </si>
  <si>
    <t>Input table used to select the Influent load for Nitrogen and Phosphorous for specific Technologies.</t>
  </si>
  <si>
    <t>Icon</t>
  </si>
  <si>
    <t>Influent Source
(see Note 1)</t>
  </si>
  <si>
    <t xml:space="preserve"> 1. The typical source(s) of the Influent Discharged into the Technology.</t>
  </si>
  <si>
    <t>Pollutant Treated and/or Reason for Use
(see Note 2)</t>
  </si>
  <si>
    <t>Siting Requirements
(see Note 3)</t>
  </si>
  <si>
    <t>GPD
(ADF)
(see Note 4)</t>
  </si>
  <si>
    <t>gpd (see Note 5)</t>
  </si>
  <si>
    <t>Equivalent Number of Homes
(see Note 6)</t>
  </si>
  <si>
    <t>Influent Load for Calculations
(see Note 7)</t>
  </si>
  <si>
    <t>Nutrient Reduction (Percent Removal) (see Note 8)</t>
  </si>
  <si>
    <t>Percent Improvement of N Removal Over Title 5 (Baseline)
(see Note 9)</t>
  </si>
  <si>
    <t>Technology Impact on Surface Water Quality (Phosphorus)
(see Note 10)</t>
  </si>
  <si>
    <t>9. Influent Concentration (Baseline) is the concentration of Nitrogen (26.25 mg/L) or Phosphorus (6.8 mg/L) of a Title 5 system as compared to the concentration discharged Into the Technology.</t>
  </si>
  <si>
    <t>Nitrogen (Pounds)</t>
  </si>
  <si>
    <t>Nitrogen (Kilograms)</t>
  </si>
  <si>
    <t>Phosphorous (Kilograms)</t>
  </si>
  <si>
    <t>Nutrient Removed per Year (see Note 11 and Note 12)</t>
  </si>
  <si>
    <t>13. Unit Metric is the measurement of technology used for cost estimating.</t>
  </si>
  <si>
    <r>
      <t>20.  The operation and maintenance cost for Constructed Wetlands - Surface Flow are based on the Cost Curve in Appendix E of the Barnstable County Cost Report (BCCR) Update (2014) which has an equation of  y = = 5.4804x</t>
    </r>
    <r>
      <rPr>
        <vertAlign val="superscript"/>
        <sz val="10"/>
        <rFont val="Times New Roman"/>
        <family val="1"/>
      </rPr>
      <t>0.7616</t>
    </r>
    <r>
      <rPr>
        <sz val="10"/>
        <rFont val="Times New Roman"/>
        <family val="1"/>
      </rPr>
      <t>.    The operation and maintenance cost for Constructed Wetlands - Horizontal Subsurface Flow are based on the Cost Curve in Appendix E of the Barnstable County Cost Report (BCCR) Update (2014) which has an equation of  y = 6.2613x</t>
    </r>
    <r>
      <rPr>
        <vertAlign val="superscript"/>
        <sz val="10"/>
        <rFont val="Times New Roman"/>
        <family val="1"/>
      </rPr>
      <t>0.747</t>
    </r>
    <r>
      <rPr>
        <sz val="10"/>
        <rFont val="Times New Roman"/>
        <family val="1"/>
      </rPr>
      <t>.  O&amp;M costs include short term pilot study monitoring costs and long term compliance monitoring costs.</t>
    </r>
  </si>
  <si>
    <r>
      <t>21.  The construction cost for PRB Trench Method are based on the Cost Curve in Appendix F of the Barnstable County Cost Report (BCCR) Update (2014) which has an equation of  y = 119.1x</t>
    </r>
    <r>
      <rPr>
        <vertAlign val="superscript"/>
        <sz val="10"/>
        <color rgb="FF000000"/>
        <rFont val="Times New Roman"/>
        <family val="1"/>
      </rPr>
      <t>-1</t>
    </r>
    <r>
      <rPr>
        <sz val="10"/>
        <color rgb="FF000000"/>
        <rFont val="Times New Roman"/>
        <family val="1"/>
      </rPr>
      <t>.    The construction cost for PRBs - Injection Well Method are based on the Cost Curve in Appendix F of the Barnstable County Cost Report (BCCR) Update (2014) which has an equation of  y = 223.32x</t>
    </r>
    <r>
      <rPr>
        <vertAlign val="superscript"/>
        <sz val="10"/>
        <color rgb="FF000000"/>
        <rFont val="Times New Roman"/>
        <family val="1"/>
      </rPr>
      <t>-1</t>
    </r>
    <r>
      <rPr>
        <sz val="10"/>
        <color rgb="FF000000"/>
        <rFont val="Times New Roman"/>
        <family val="1"/>
      </rPr>
      <t>.</t>
    </r>
  </si>
  <si>
    <t xml:space="preserve">Legend
A. Unit Metric - Measurement of Technology.
B. O&amp;M Costs - Operation and Maintenance Costs.
C. Life Cycle Costs - Present value of Project Costs plus O&amp;M costs based on a specified duration (Cell BU2) and  specified interest rate (Cell BR2).
D. Operation Time - Year Round vs Seasonal Use of Technology.
E. N = Nitrogen and P = Phosphorus.
F. GPD - Gallons per day - Used to describe the number of gallons of flow treated by the Technology.
G. I/A - Innovative / Alternative.
H. STEP = Septic Tank Effluent Pumping and STEG = Septic Tank Effluent Gravity.
I. DTPD = Dry Tons per Day.
</t>
  </si>
  <si>
    <t xml:space="preserve"> Years (see Note 24)</t>
  </si>
  <si>
    <t>(see Note 24)</t>
  </si>
  <si>
    <t>System Design Considerations
(see Note 25)</t>
  </si>
  <si>
    <t>Technology Resilience
(see Note 26)</t>
  </si>
  <si>
    <t>Eco Services (see Note 27)</t>
  </si>
  <si>
    <t>Monitoring (see Note 28)</t>
  </si>
  <si>
    <t>References, Notes, and Assumptions (see Note 29)</t>
  </si>
  <si>
    <r>
      <t xml:space="preserve">19.  The construction cost for Constructed Wetlands - Surface Flow are based on the Cost Curve in Appendix E of the Barnstable County Cost Report (BCCR) Update (2014) which has an equation of  </t>
    </r>
    <r>
      <rPr>
        <sz val="10"/>
        <rFont val="Times New Roman"/>
        <family val="1"/>
      </rPr>
      <t>y =-6E-06x</t>
    </r>
    <r>
      <rPr>
        <vertAlign val="superscript"/>
        <sz val="10"/>
        <rFont val="Times New Roman"/>
        <family val="1"/>
      </rPr>
      <t>2</t>
    </r>
    <r>
      <rPr>
        <sz val="10"/>
        <rFont val="Times New Roman"/>
        <family val="1"/>
      </rPr>
      <t xml:space="preserve"> + 27.458x + 14583.</t>
    </r>
    <r>
      <rPr>
        <vertAlign val="superscript"/>
        <sz val="10"/>
        <rFont val="Times New Roman"/>
        <family val="1"/>
      </rPr>
      <t xml:space="preserve">  </t>
    </r>
    <r>
      <rPr>
        <sz val="10"/>
        <rFont val="Times New Roman"/>
        <family val="1"/>
      </rPr>
      <t xml:space="preserve">  </t>
    </r>
    <r>
      <rPr>
        <sz val="10"/>
        <color rgb="FF000000"/>
        <rFont val="Times New Roman"/>
        <family val="1"/>
      </rPr>
      <t>The construction cost for Constructed Wetlands - Horizontal Subsurface Flow are based on the Cost Curve in Appendix E of the Barnstable County Cost Report (BCCR) Update (2014) which has an equation of  y = -6E-06x</t>
    </r>
    <r>
      <rPr>
        <vertAlign val="superscript"/>
        <sz val="10"/>
        <color rgb="FF000000"/>
        <rFont val="Times New Roman"/>
        <family val="1"/>
      </rPr>
      <t>2</t>
    </r>
    <r>
      <rPr>
        <sz val="10"/>
        <color rgb="FF000000"/>
        <rFont val="Times New Roman"/>
        <family val="1"/>
      </rPr>
      <t xml:space="preserve"> + 26.364x + 16667.  The construction cost includes land costs.</t>
    </r>
  </si>
  <si>
    <r>
      <t>22.  The operation and maintenance cost for PRB Trench Method are based on the Cost Curve in Appendix F of the Barnstable County Cost Report (BCCR) Update (2014) which has an equation of  y = 181.56x</t>
    </r>
    <r>
      <rPr>
        <vertAlign val="superscript"/>
        <sz val="10"/>
        <color rgb="FF000000"/>
        <rFont val="Times New Roman"/>
        <family val="1"/>
      </rPr>
      <t>-1</t>
    </r>
    <r>
      <rPr>
        <sz val="10"/>
        <color rgb="FF000000"/>
        <rFont val="Times New Roman"/>
        <family val="1"/>
      </rPr>
      <t>.    The operation and maintenance cost for PRBs - Injection Well Method are based on the Cost Curve in Appendix F of the Barnstable County Cost Report (BCCR) Update (2014) which has an equation of  y = 257.22x</t>
    </r>
    <r>
      <rPr>
        <vertAlign val="superscript"/>
        <sz val="10"/>
        <color rgb="FF000000"/>
        <rFont val="Times New Roman"/>
        <family val="1"/>
      </rPr>
      <t>-1</t>
    </r>
    <r>
      <rPr>
        <sz val="10"/>
        <color rgb="FF000000"/>
        <rFont val="Times New Roman"/>
        <family val="1"/>
      </rPr>
      <t>.</t>
    </r>
  </si>
  <si>
    <t>Phosphorous (Pounds)</t>
  </si>
  <si>
    <t>Cost / Unit Metric (See Note 14 through Note 23, inclusive)</t>
  </si>
  <si>
    <t>● Board of Health
● Department of Public Works
● Building Department
● MassDOT
● Conservation Commission</t>
  </si>
  <si>
    <t xml:space="preserve">(1) Medoraco Corp.
     </t>
  </si>
  <si>
    <t xml:space="preserve">(1) Carmichael, R.H. and W. Walton, H. Clark, June 2012, Bivalve Enhanced Nitrogen Removal From Coastal Estuaries.
(2) The Nature Conservancy: Oyster Reef Building and Restoration for Coastal Protection
(3) Sisson, M. et al. Assessment of Oyster Reefs in Lynnhaven River as a Chesapeake Bay TMDL BMP 2011.
(4) Various studies have quantified removal rates, though there is variation depending on shellfish type and environmental conditions.
(5) Assessment of Oyster Reefs in Lynnhaven River as a Chesapeake Bay TMDL Best Management Practice, MacSisson, Lisa Kellogg, Mark Luckenbach, Rom Lipcius, Allison Colden, Jeff Cornwell, and Michael Owens Final Report to the U. S. Army Corps of Engineers, Norfolk District
(6) Estuarine Fish and Shellfish Species in U.S. Commercial and Recreational Fisheries: Economic Value as an Incentive to Protect and Restore Estuarine Habitat, K. A. Lellis-Dibble, K. E. McGlynn, and T. E. Bigford
November 2008
(7) Bay Area Monitor, Scientists Set Seashells by the Seashore, Aleta George, October 1, 2013
(8) Range of 250 to 1,000 Kg of N per acre based ongoing pilot studies in Falmouth, MA and Wellfleet, MA.  Analysis uses a conservative value of 250 Kg of N per acre.
(9) Kellogg, Lisa, Virginia Inset of Marine Science, Denitrification and Nutrient Assimilation on a Restored Oyster Reef, May 2013
(10) Rice, Michael A,, Et. Al.,  Changes in Shell and Soft Tissue Growth, Tissue Compositions of Quahogs and Soft-Shelled Clams in Response to Eutrophic Driven Changes in Food supply and Habitat. Boston University, Journal of Experimental Marine Biology and Ecology. August 2004, 
(11) STAC Report, Evaluation of the Use of Shellfish as a Means of Nutrient Reduction in the Chesapeake Bay, September, 3013d
(12) Circle C Oyster Ranchers Association: http://www.oysterranching.com/background.html
(13) Food and Agricultural Organization of the United States: Hatchery Culture of Bivalves - Fisheries Technical Paper 471 (http://www.fao.org/docrep/007/y5720e/y5720e02.htm#TopOfPage)
</t>
  </si>
  <si>
    <t xml:space="preserve">Pilot study likely requiring establishment of baseline water quality and monitoring once pilot project is online.  The pilot study results will likely be used to determine the effectiveness and efficiency of the technology before allowing full implementation.
Need to work closely with the ongoing Cape demonstration projects to evaluate those data.  Need to consider reef building projects vs. bag or cage type projects.
Shellfish will only remove nitrogen if it is in particulate form through filtering.
Some areas have had to use horse mussels instead of blue mussels and oysters.  
In general, the installation of oyster aquaculture is not allowed in areas where there is a prohibition on harvesting.  However, there is a procedure that if a town is willing to enforce the no harvesting rule that aquaculture can be used in restricted areas.  This is not in a regulation, but is sited in a paper.
In some areas, there are  prohibition of oyster harvesting due to water quality concerns.  There is concern that these oysters may get into the food supply and cause illness.
Will need to coordinate with Division of Marine Fisheries (DMF).
Towns may want to consider looking at mariculture instead of oyster aquiculture.  Mariculture uses seaweeds to reduce nitrogen loads.
There is some concern over habitat displacement.  Care will need to be taken when placing aquiculture projects.
Aquaculture is a biological system.  Oysters can be susceptible to disease, mass die-offs, etc.  This needs to be factored in when  designing a nitrogen removal plan, specifically, aquaculture should not be the only strategy incase of a mass die-off.
Towns need to consider other issues that relate to maintenance of living organisms
Aquaculture is a seasonal solution, with little nitrogen reduction occurring in the winter months.
</t>
  </si>
  <si>
    <t xml:space="preserve">(1) Carmichael, R.H. and W. Walton, H. Clark, June 2012, Bivalve Enhanced Nitrogen Removal From Coastal Estuaries.
(2) The Nature Conservancy: Oyster Reef Building and Restoration for Coastal Protection
(3) Sisson, M. et al. Assessment of Oyster Reefs in Lynnhaven River as a Chesapeake Bay TMDL BMP 2011.
(4) Various studies have quantified removal rates, though there is variation depending on shellfish type and environmental conditions.
(5) Assessment of Oyster Reefs in Lynnhaven River as a Chesapeake Bay TMDL Best Management Practice, MacSisson, Lisa Kellogg, Mark Luckenbach, Rom Lipcius, Allison Colden, Jeff Cornwell, and Michael Owens Final Report to the U. S. Army Corps of Engineers, Norfolk District
(6) Estuarine Fish and Shellfish Species in U.S. Commercial and Recreational Fisheries: Economic Value as an Incentive to Protect and Restore Estuarine Habitat, K. A. Lellis-Dibble, K. E. McGlynn, and T. E. Bigford
November 2008
(7) Bay Area Monitor, Scientists Set Seashells by the Seashore, Aleta George, October 1, 2013
(8) Range of 250 to 1,000 Kg of N per acre based ongoing pilot studies in Falmouth, MA and Wellfleet, MA.  Analysis uses a conservative value of 250 Kg of N per acre.
(9) Kellogg, Lisa, Virginia Inset of Marine Science, Denitrification and Nutrient Assimilation on a Restored Oyster Reef, May 2013
(10) Rice, Michael A,, Et. Al.,  Changes in Shell and Soft Tissue Growth, Tissue Compositions of Quahogs and Soft-Shelled Clams in Response to Eutrophic Driven Changes in Food supply and Habitat. Boston University, Journal of Experimental Marine Biology and Ecology. August 2004, 
(11) STAC Report, Evaluation of the Use of Shellfish as a Means of Nutrient Reduction in the Chesapeake Bay, September, 3013d
(12) Circle C Oyster Ranchers Association
(13) Food and Agricultural Organization of the United States: Hatchery Culture of Bivalves - Fisheries Technical Paper 471
</t>
  </si>
  <si>
    <t xml:space="preserve">Pilot study likely requiring establishment of baseline water quality and monitoring once pilot project is online.  The pilot study results will likely be used to determine the effectiveness and efficiency of the technology before allowing full implementation.
Need to work closely with the ongoing Cape demonstration projects to evaluate those data.  Need to consider reef building projects vs. bag or cage type projects.
Shellfish will only remove nitrogen if it is in particulate form through filtering.
Some areas have had to use horse mussels instead of blue mussels and oysters.  
In general, the installation of oyster aquaculture is not allowed in areas where there is a prohibition on harvesting.  However, there is a procedure that if a town is willing to enforce the no harvesting rule that aquaculture can be used in restricted areas.  This is not in a regulation, but is sited in a paper.
In some areas, there are  prohibition of oyster harvesting due to water quality concerns.  There is concern that these oysters may get into the food supply and cause illness.
Will need to coordinate with Division of Marine Fisheries (DMF).
Towns may want to consider looking at mariculture instead of oyster aquiculture.  Mariculture uses seaweeds to reduce nitrogen loads.
There is some concern over habitat displacement.  Care will need to be taken when placing aquiculture projects.
Aquaculture is a biological system.  Oysters can be susceptible to disease, mass die-offs, etc.  This needs to be factored in when  designing a nitrogen removal plan, specifically, aquaculture should not be the only strategy incase of a mass die-off.
Towns need to consider other issues that relate to maintenance of living organisms
Aquaculture is a seasonal solution, with little nitrogen reduction occurring in the winter months.
</t>
  </si>
  <si>
    <t>● MassDEP
● Board of Health
● Department of Public Works
● MassDOT
● Department of Marine and Fisheries
● US Army Corps
● Conservation Commission
● Natural Heritage
● The Nature Conservancy
● Mass Historical Commission
● Building Department</t>
  </si>
  <si>
    <t>● MassDEP
● Board of Health
● Department of Public Works
● Department of Marine and Fisheries
● Conservation Commission
● Natural Heritage
● The Nature Conservancy
● Mass Historical Commission</t>
  </si>
  <si>
    <t>● MassDEP
● Board of Health
● Department of Public Works
● MassDOT
● Department of Marine and Fisheries
● Conservation Commission
● Natural Heritage
● The Nature Conservancy
● Mass Historical Commission</t>
  </si>
  <si>
    <t>● MassDEP
● Board of Health
● Department of Public Works
● Department of Marine and Fisheries
● US Army Corps
● US EPA
● Conservation Commission
● Natural Heritage
● The Nature Conservancy
● Mass Historical Commission</t>
  </si>
  <si>
    <t>● MassDEP
● Board of Health
● Department of Public Works
● MassDOT
● Department of Marine and Fisheries
● US Army Corps
● US EPA
● Conservation Commission
● Natural Heritage
● The Nature Conservancy
● Mass Historical Commission
● Building Department</t>
  </si>
  <si>
    <t>Notes</t>
  </si>
  <si>
    <t>14.  Quantities/unit costs have been based on the following: (a) Pricing as of March 2014.  No escalation was included; (b) Construction costs include contractor's overhead, profit, general condition costs, etc. estimated at 20 percent; (c) Project Cost equals the Construction Cost plus 40 percent for Engineering (Design and Construction Engineering), Municipal Administrative, Legal Costs and Contingency; (d) Pricing does not include considerations for site specific conditions or items such as hazardous materials; (e) Accuracy is assumed to be plus or minus 15 percent; and (f) In providing these estimated costs, it is understood that the developers of the Technology Matrix have no control over costs of labor, materials, equipment or services furnished by others or over market conditions or contractors' methods of determining prices, and that any evaluation of alternatives to be constructed or work to be performed is speculative.  Accordingly, there is no guarantee that proposals, bids or actual costs will not vary from cost information provided herein.</t>
  </si>
  <si>
    <t xml:space="preserve">(1) Pleasant Bay Fertilizer Management Plan prepared for the Town of Chatham by Horsley Witten Group, Inc. (2010).
(2) Schueler, Tom et al. 2013. Recommendations of the Expert Panel to Define Removal Rates for Urban Nutrient Management: CBP Approved Final Report.
(3) Reported nutrient removal rates taken from Chesapeake Bay Project report, which reviewed over 200 research studies and reports regarding urban nutrient management programs. 
(4) Assumes average 1/2 acre lot size with 1/4 acre landscaped and average Cape Cod rainfall = 45 inches/year of which 25 inches/year to groundwater.
(5) White, Lisabeth M., The Contribution of Lawn Fertilizer to the Nitrogen Loading of Cape Cod Embayments, Thesis, University of Rhode Island, 2003.
(6) Calculation Basis - (a) Each residential lawn approximately 5,000 sqft. (Howes and Ramsey, 2001) ; (b) 8.71 lots per acre; (c) 1.08 lbs/yr per 5,000 sqft residential lawn (Howes and Ramsey, 2001), or 9.41 lbs/acre/yr, or 4.27 kg/acre/yr; (d) Rainfall infiltration for lawns 27.25 inches (Howes and Ramsey, 2001) or 2.27 feet; (e) Cuft rainfall per acre – 98,918; (f) Gallons/acre/yr  – 739,900 or 2,027 gallons/acre/year; (g) 2,801,343 liters/acre/yr; (h) Divided 4.27 kg/acre/yr by 2,801,343 liters/acre/year to back into 1.52 mg/L; (i) No construction costs in the matrix at this time; (j) Adjusted annual O&amp;M costs are $20/acre of maintained grounds/year or around $5 per household; and (k) Average Life Cycle Costs are around $115/kg.
</t>
  </si>
  <si>
    <t xml:space="preserve">(1) EPA Stormwater BMPs
(2) California Stormwater Quality Association (CASQA). 2003. Best Management Practices (BMP) Handbook, Municipal.
(3) Pennsylvania BMP manual.
(4) Deriving Reliable Pollutant Removal Rates for Municipal Street Sweeping and Storm Drain Cleanout Programs in the Chesapeake Bay Basin. Center for Watershed Protection. September 2008.
(5) Effective street sweeping programs can remove several tons of debris a year from city streets minimizing pollutants, including sediment, debris, trash , road salt and trace metals, in stormwater runoff : (a)  Could quantify effect of street sweeping by maintaining logs of the number of curb miles swept and the amount of waste collected ; (b) A study conducted by the Center for Watershed Protection in the Chesapeake Bay Basin indicated that pollutant removal rates for street sweeping and municipal drain cleanout programs can range between 9-31% (TS), 3-7% (TP), and 3-7% (TN); (c) Land use planning: Minimize overall disturbance at individual lot levels as well as construction sites (TSS reduction 40%); and (d) C reduction and control: Minimize pavement by using alternative road layouts, restricting on-street parking, minimizing cul-de-sac radii , and using permeable pavers. A preventative measure for TSS, TP and NO3.
(6) Maryland Guidance street sweeping typically shows: (a)  a 5%TN, 6%TP, and 25% TSS removal when sweeping occurs once every two weeks; (b) Impervious surface elimination can significantly reduce nutrient loads; (c) Converting from impervious to grassed pervious has been shown to reduce TN by 13%, TP by 72%, and TSS by 84%; (d) Converting from impervious to forest has been shown to reduce TN by 71%, TP by 94%, and TSS by 93%; and (e) Similar potential exists for strict redevelopment standards which require introduction of stormwater management to existing impervious cover which is being redeveloped.
(7) Tree planting or reforestation also has significant potential.  Converting from grassed pervious to forest can reduce TN by 66%, TP by 77%, and TSS by 50%.
(8) Stream restoration is also a potentially very important strategy. In the Chesapeake Region, new planning guidance for stream restoration removal rates has been issued. This research suggests TN removal of 0.2 lbs per linear foot, TP removal of 0.068 lbs per linear foot, and TSS removal of 310 lbs per linear foot. 
(9) Similar potential is available for shoreline stabilization. Some guidance estimates these removal rates at 0.16 lbs TN/linear foot, 0.11 lbs TP/linear foot, and 451 lbs TSS/linear foot.
(10) Fertilizer management is also potentially a critical strategy for controlling the discharge of nutrients in stormwater. Recent guidance suggests nutrient management can reduce nutrient loading in urban stormwater by 17% for TN and 22% for TP. 
(11) Highly feasible to implement an O&amp;M plan and public outreach/education programs; however, dependent upon funding.  Land use planning and IC reduction and control can be implemented through local boards, commissions and ordinances.
(11) Costs not included as regulatory agencies require stormwater BMPs to be implemented by the municipalities.
(12) Treatment level for typical stormwater BMPs may not meet the requirements for N and P reduction.  Enhancements beyond stormwater MS4 should be considered on a case by case basis.
(13) Calculation Basis - (a) Technology metric is a curb mile; (b) Assumed average road width 30 ft.; (c) Square feet in curb mile approx. 158,400 sqft.; (d) Rainfall runoff approx. 40 inches per year (Howes and Ramsey, 2001); (e) Cubic feet of rainfall per road mile – 528,000; (f) Gallons per curb mile/year – 3,949,440 (10,820 gal/day); (g) Liters per curb mile/year – 14,952,960 liters/acre/year; (h) Road runoff nitrogen concentration mg/L 1.5 mg/L (Howes and Ramsey, 2001); (i) 22.4 kg/curb mile/year; and (j) 11.4 kg/curb mile/year if removed of 50% removed.
</t>
  </si>
  <si>
    <t xml:space="preserve">(1).Average Removal Efficiency (P 417) and Median Total Nitrogen Removal Rate (P 309) from Kadlec and Wallace.  Treatment Wetlands, 2nd Ed.
(2) Range of  cost and  O&amp;M values adjusted for inflation from Jim Kreissl, Constructed Wetlands Treatment for Nutrient Treatment for Nutrient Reduction, Presentation at POTW Nutrient Reduction and Efficiency Workshop, 2008.
(3) Average Removal Rate from Vymazal Jan.  Removal of Phosphorus in Constructed Wetlands with Horizontal Sub-Surface Flow in the Czech Republic. Water, Air and Soil Pollution: Focus.  June 2004, Volume 4, Issue 2-3, pp. 657-670.
(4) Gal./day/acre Value averaged from Table 6. Ogden, Michael.  Costs of Constructed Wetland Systems.  Prepublication copy for presentation at WEFTEC '98, 1998.
(5) Data on Phosphorus removal from Subsurface flow wetlands is highly varied and dependent on retention time and media used.  This value is calculated at 50% of the  phosphorus removal rate of a FWS constructed wetland system.
(6) 1 acre of  SSF CTW will treat 50-75 homes/acre Total Nitrogen at 330 gpd. Assumptions: Q= 330 gpd (1.25 mg/l); Ci = 20 mg/l; Ce = 5 mg/l (TN), k (areal removal rate constant): 4-15 m/yr. C* = 0 mg/l (background).  Equates to 0.015 to 0.025 acres/330 gpd.
(7) USEPA Wetlands Free Surface Water Flow Fact Sheet
</t>
  </si>
  <si>
    <t>Average Life Cycle Cost
(PV)</t>
  </si>
  <si>
    <t>Replacement / Upgrade (see Note 30)</t>
  </si>
  <si>
    <r>
      <rPr>
        <b/>
        <sz val="10"/>
        <rFont val="Times New Roman"/>
        <family val="1"/>
      </rPr>
      <t>Background</t>
    </r>
    <r>
      <rPr>
        <sz val="10"/>
        <rFont val="Times New Roman"/>
        <family val="1"/>
      </rPr>
      <t xml:space="preserve">
In 2014, as part of the 208 Water Quality Management Plan Update for Cape Cod Massachusetts, a Technology Matrix was developed by the Cape Cod Commission, AECOM Technical Services, Inc., Scott Horsley, and Offshoots, Inc.  Although it is not intended to be all inclusive, the Technology Matrix presents information on various wastewater technologies that are currently available including collection, treatment, disposal and solids processing.  The Technology Matrix should be considered a flexible and dynamic source of information that is updated by the Cape Cod Commission as additional information becomes available.
The information contained in the Technology Matrix has been developed using input from the Cape Cod Commission’s Technical Review Panel (aka Blue Ribbon Panel), various Federal, Massachusetts, and Local Regulatory Agencies, Special Interest Groups and the Public at Large.
The Technology Matrix has been developed to bring together in one place a summary of information that can serve as a starting point to help Cape Cod communities evaluate various alternatives through adaptive management to address their wastewater issues.  The Technology Matrix should be used as an educational tool to understand the benefits, design requirements, and regulatory considerations of the various technologies along with their order of magnitude costs which must be adjusted based on local/site specific conditions.</t>
    </r>
  </si>
  <si>
    <t>15.  Land cost is based on the Barnstable County Cost Report (BCCR) estimate of $250,000 per acre.</t>
  </si>
  <si>
    <t>23.  Adjustment factors are included to some technologies to anticipate pilot testing that can be used for refinement to performance and cost data presented.  Each adjustment factor increases or decreases Project and Operation and Maintenance costs by 10 percent in order to account for the relative complexity of the technology, local oversight, and regulatory compliance such as pilot testing, short and long term monitoring, etc.</t>
  </si>
  <si>
    <t>27.  Eco Services are considered ecological and social co-benefits of a technology.  A cost offset of a benefit is not included in the technology cost analysis, but the environmental and social eco-services that a technology provides should be considered when selecting a technology.  Elements of Eco Services include, but are not limited to, Total N and P, Carbon Sequestration, Sediment Accretion, Water Filtration, Bioturbation, Bioremediation, and Biodiversity.</t>
  </si>
  <si>
    <t>26.  System resilience consists of the impact of the technology during sea level rise and flooding conditions (i.e.. nitrogen release, pathogen release timely ability to replace/begin operation).</t>
  </si>
  <si>
    <t>12.   The Nitrogen Load Reduction Calculator assumes a baseline input of 26.25 mg/L.  The input is based on the Massachusetts Estuaries Program (MEP) assumption that existing nitrogen load from existing septic system wastewater systems to the groundwater is 26.25 mg/L.  This 26.25 mg/L assumes nitrogen reduction from the existing septic systems as well as treatment in the subsurface soils between the septic system discharge and the water table.  In other words, the existing nitrogen load to the watershed is 26.25 mg/L from the existing septic systems.  The net reduction from a specific technology would be the decreased nitrogen load achieved by installing and operating the selected technology.  The Nitrogen Load Reduction Calculator is used to estimate the cost per pound of nitrogen reduced from the watershed in order to compare the cost-effectiveness of the technologies but not to calculate a project cost for the technology.</t>
  </si>
  <si>
    <t>11.   The nitrogen reduction percent is used to estimate the cost per pound or kilogram of nitrogen reduction.  In other words, the cost per pound or kilogram of nitrogen removed is the influent load specified minus the effluent nitrogen load.  The net reduction from a specific technology would be the specified influent nitrogen load minus the effluent nitrogen load resulting from installing and operating a selected technology.   The Technology Matrix is not to be used to estimate the net nitrogen load reduction from the watershed.  The Nitrogen Load Reduction Calculator has been designed for that task.</t>
  </si>
  <si>
    <t>8.  Nutrient (Nitrogen and Phosphorous) percent removal is the estimated low to high range considering actual operating facilities/technologies, pilot testing performed on the technology and research performed on the technology.   In general, the closer the range of percent removals equals a higher predictability of the technology to reduce nutrients.</t>
  </si>
  <si>
    <t>7.   The Technology Matrix assumes various nitrogen input concentrations based on influent source flow.  The nitrogen input concentration will vary based on water collected at its source and wastewater effluent which has been release into the environment.  The effluent nitrogen from the technology is dependent on the technology applied.  The total nitrogen reduction for the technology is specified input concentration minus the effluent nitrogen concentration.</t>
  </si>
  <si>
    <t>2. Pollutant Treated or Use - Presents the Pollutant Treated by the Technology (nitrogen or phosphorus, etc.) or the Reason to use the Technology (avoiding discharging WWTF effluent to groundwater).</t>
  </si>
  <si>
    <t>Technology ID</t>
  </si>
  <si>
    <t>Title 5 Septic System Replacement (Base Line Condition)</t>
  </si>
  <si>
    <t>Nitrogen Reduction (Percent Removal)</t>
  </si>
  <si>
    <t>N Reduction From Matrix</t>
  </si>
  <si>
    <t>Instead of discharging the WWTF effluent to groundwater, the effluent is conveyed to an ocean outfall.  Ocean outfall discharges are ideally located offshore in deep water where currents disperse and dilute the discharge.  Ocean outfalls have the advantage of removing the nitrogen load from the watershed.
A recent amendment filed as Massachusetts Senate Bill #2021, and approved in the 2014 legislative session, modifies the Oceans Act. The legislative changes stipulate conditions under which ocean outfalls of treated municipal wastewater into the marine sanctuaries around Cape Cod might be permitted. The amendment requires, among other standards: the discharge must meet the water quality standards of the receiving water body, including any TMDLs in place; implementation of plans to minimize inflow and infiltration; programs to conserve water; consistency with the policies and plans of Coastal Zone Management (which includes the policies and standards of the Massachusetts Ocean Management Plan); that the discharge shall not affect the quality or quantity of existing or proposed water supplies by reducing ground water recharge; and that the proposed discharge will not adversely impact marine fisheries. The amendment also requires study of the environmental impacts of a discharge through the state MEPA process, including ecological, hydrologic, hydraulic, and water quality evaluations.</t>
  </si>
  <si>
    <t>● High level of treatment required.
● Capital and O&amp;M cost intensive.
● Extensive permitting issues (Oceans Sanctuary Act, wetlands, etc.).
● Siting and abutter issues.
● Modeling of ocean outfall and potential impacts required.
● Permitting costs could be extensive. Under a recent amendment to the Massachusetts Ocean Sanctuaries Act, proposed ocean outfalls into the ocean sanctuaries around Cape Cod will require extensive analysis and environmental review to establish the need, identify potential impacts, and define appropriate mitigating actions.</t>
  </si>
  <si>
    <t>Discount Rate</t>
  </si>
  <si>
    <t xml:space="preserve">
Cells That May Require Input
for Developing
Site Specific Scenarios
(Cells Highlighted Light Blue)</t>
  </si>
  <si>
    <t>Permeable Reactive Barriers (PRBs) - Trench Method
(Aquifer Thickness - 
30 feet)</t>
  </si>
  <si>
    <t>Permeable Reactive Barriers (PRBs) - Injection Well Method
(Aquifer Thickness - 
30 feet)</t>
  </si>
  <si>
    <t>Permeable Reactive Barriers (PRBs) - Injection Well Method
(Aquifer Thickness - 
45 feet)</t>
  </si>
  <si>
    <t>Permeable Reactive Barriers (PRBs) - Injection Well Method
(Aquifer Thickness - 
60 feet)</t>
  </si>
  <si>
    <t>Unit Metric
(see Note 13)</t>
  </si>
  <si>
    <t xml:space="preserve"> kg/linear foot</t>
  </si>
  <si>
    <t>cubic yard</t>
  </si>
  <si>
    <t>cubic feet</t>
  </si>
  <si>
    <t>liters</t>
  </si>
  <si>
    <t>31.  The Technology Matrix uses a Life-cycle cost analysis (LCCA) to compare various alternatives to determine the most cost-effective alternative regarding Project Costs and Annual O&amp;M Costs.   It assumes that each of the alternatives (or combination of alternatives) are appropriate to be implemented on technical grounds.  The costs are compared on a Present Value basis whereby future costs such as annual O&amp;M Costs and Replacement/Upgrade Costs are discounted and totaled to a present day value known as net present value (NPV).</t>
  </si>
  <si>
    <t>O&amp;M Cost
(PV)</t>
  </si>
  <si>
    <t>Stormwater Management</t>
  </si>
  <si>
    <t>Area</t>
  </si>
  <si>
    <t>● Little impact to homeowners.
● Centralized equipment maintenance.                                                             ● Lowest O&amp;M compared to other collection systems.
● Eliminates the need for institutional controls associated with systems that involve on-site pumps (LPS, STEP and STEG).</t>
  </si>
  <si>
    <t xml:space="preserve">● Potential reduced capital costs over conventional collection systems.
● Centralized equipment maintenance.
● Shallow pipes - can be buried above frost line due to high velocities that will not freeze.
● Pumps/vacuum equipment not required on private property.            ● More easily expanded in response to growth.
</t>
  </si>
  <si>
    <t xml:space="preserve">(1)  A Comparison of Maintenance Cost, Labor Demands, and System Performance for LID and Conventional Stormwater Management, ASCE Journal of Environmental Engineering; January 25, 2013
(2) University of New Hampshire Stormwater Center, 2013 Annual Report.
(3) 2009 UNHSC Specs.
(4) EPA Fact Sheet: Bioretention Winogradoff, 2001  Claytor &amp; Schueler, 1996.
(5) Design of Stormwater Filtering Systems , 1996, R. Claytor, T. R. Schueler
(6) US DOT, Stormwater Best Management Practices in an Ultra-Urban Setting: Selection and Monitoring - Fact Sheet - Filter Strips
(7) State of Vermont, State of the Practice: Enhanced Nutrient Removal in Stormwater Treatment
(8) USEPA Stormwater Technology Fact Sheet - Bioretention
</t>
  </si>
  <si>
    <t>Aquaculture (N removed/acre)</t>
  </si>
  <si>
    <t>N and P Removed Per Unit</t>
  </si>
  <si>
    <t>P 2 -     Flow per Home (gpd)
AN 2 - Project Cost Factor (%)
BU 2 - Discount Rate (% APR)
BX 2 - Planning Period (Nper in years)
N 7  -  Acres
Q 97 - Influent Nitrogen Load
R 97 - Influent Phosphorus Load</t>
  </si>
  <si>
    <t>P 2 -     Flow per Home (gpd)
AN 2 - Project Cost Factor (%)
BU 2 - Discount Rate (% APR)
BX 2 - Planning Period (Nper in years)
N 8 -    Acres
Q 97 - Influent Nitrogen Load
R 97 - Influent Phosphorus Load</t>
  </si>
  <si>
    <t>P 2 -     Flow per Home (gpd)
AN 2 - Project Cost Factor (%)
BU 2 - Discount Rate (% APR)
BX 2 - Planning Period (Nper in years)
M 10 -  Flow (gpd)
T 113 - Influent Nitrogen Load
U 113 - Influent Phosphorus Load</t>
  </si>
  <si>
    <t>P 2 -     Flow per Home (gpd)
AN 2 - Project Cost Factor (%)
BU 2 - Discount Rate (% APR)
BX 2 - Planning Period (Nper in years)
N 11 -   Acres
Q 100 - Influent Nitrogen Load
R 100- Influent Phosphorus Load</t>
  </si>
  <si>
    <t>P 2 -     Flow per Home (gpd)
AN 2 - Project Cost Factor (%)
BU 2 - Discount Rate (% APR)
BX 2 - Planning Period (Nper in years)
N 12 -   Acres
T 100 - Influent Nitrogen Load
U 100- Influent Phosphorus Load</t>
  </si>
  <si>
    <t>P 2 -     Flow per Home (gpd)
AN 2 - Project Cost Factor (%)
BU 2 - Discount Rate (% APR)
BX 2 - Planning Period (Nper in years)
N 13 -   Acres
T 100 - Influent Nitrogen Load
U 100- Influent Phosphorus Load</t>
  </si>
  <si>
    <t>P 2 -     Flow per Home (gpd)
AN 2 - Project Cost Factor (%)
BU 2 - Discount Rate (% APR)
BX 2 - Planning Period (Nper in years)
N 14 -   Acres
T 100 - Influent Nitrogen Load
U 100- Influent Phosphorus Load</t>
  </si>
  <si>
    <t>P 2 -     Flow per Home (gpd)
AN 2 - Project Cost Factor (%)
BU 2 - Discount Rate (% APR)
BX 2 - Planning Period (Nper in years)
N 15 -   Acres
T 100 - Influent Nitrogen Load
U 100- Influent Phosphorus Load</t>
  </si>
  <si>
    <t>P 2 -     Flow per Home (gpd)
AN 2 - Project Cost Factor (%)
BU 2 - Discount Rate (% APR)
BX 2 - Planning Period (Nper in years)
N 16 -   Acres
T 100 - Influent Nitrogen Load
U 100- Influent Phosphorus Load</t>
  </si>
  <si>
    <t xml:space="preserve">P 2 -     Flow per Home (gpd)
AN 2 - Project Cost Factor (%)
BU 2 - Discount Rate (% APR)
BX 2 - Planning Period (Nper in years)
N 17 - Acres
W 105 - Nitrogen removed per acre (Low)
X 105 - Nitrogen removed per acre (High)
</t>
  </si>
  <si>
    <t>P 2 -     Flow per Home (gpd)
AN 2 - Project Cost Factor (%)
BU 2 - Discount Rate (% APR)
BX 2 - Planning Period (Nper in years))
N 18 - Acres
W 105 - Nitrogen removed per acre (Low)
X 105 - Nitrogen removed per acre (High)</t>
  </si>
  <si>
    <t>P 2 -     Flow per Home (gpd)
AN 2 - Project Cost Factor (%)
BU 2 - Discount Rate (% APR)
BX 2 - Planning Period (Nper in years)
N 19 - Acres
W 105 - Nitrogen removed per acre (Low)
X 105 - Nitrogen removed per acre (High)</t>
  </si>
  <si>
    <t xml:space="preserve">P 2 -     Flow per Home (gpd)
AN 2 - Project Cost Factor (%)
BU 2 - Discount Rate (% APR)
BX 2 - Planning Period (Nper in years)
O 21  -   PRB length (linear feet)
T 103 - Influent Nitrogen Load
U 103 - Influent Phosphorus Load
</t>
  </si>
  <si>
    <t xml:space="preserve">P 2 -     Flow per Home (gpd)
AN 2 - Project Cost Factor (%)
BU 2 - Discount Rate (% APR)
BX 2 - Planning Period (Nper in years)
O 22  -   PRB length (linear feet)
T 103 - Influent Nitrogen Load
U 103 - Influent Phosphorus Load
</t>
  </si>
  <si>
    <t xml:space="preserve">P 2 -     Flow per Home (gpd)
AN 2 - Project Cost Factor (%)
BU 2 - Discount Rate (% APR)
BX 2 - Planning Period (Nper in years)
O 23  -   PRB length (linear feet)
T 103 - Influent Nitrogen Load
U 103 - Influent Phosphorus Load
</t>
  </si>
  <si>
    <t xml:space="preserve">P 2 -     Flow per Home (gpd)
AN 2 - Project Cost Factor (%)
BU 2 - Discount Rate (% APR)
BX 2 - Planning Period (Nper in years)
O 24  -   PRB length (linear feet)
T 103 - Influent Nitrogen Load
U 103 - Influent Phosphorus Load
</t>
  </si>
  <si>
    <t>P 2 -     Flow per Home (gpd)
AN 2 - Project Cost Factor (%)
BU 2 - Discount Rate (% APR)
BX 2 - Planning Period (Nper in years)
M 27 -  Flow (gpd)
W 100 - Influent Nitrogen Load
X100 - Influent Phosphorus Load</t>
  </si>
  <si>
    <t>P 2 -     Flow per Home (gpd)
AN 2 - Project Cost Factor (%)
BU 2 - Discount Rate (% APR)
BX 2 - Planning Period (Nper in years)
M 28 -  Flow (gpd)
W 100 - Influent Nitrogen Load
X 100 - Influent Phosphorus Load</t>
  </si>
  <si>
    <t>P 2 -     Flow per Home (gpd)
AN 2 - Project Cost Factor (%)
BU 2 - Discount Rate (% APR)
BX 2 - Planning Period (Nper in years)
M 29 -  Flow (gpd)
W 100 - Influent Nitrogen Load
X 100 - Influent Phosphorus Load</t>
  </si>
  <si>
    <t>P 2 -     Flow per Home (gpd)
AN 2 - Project Cost Factor (%)
BU 2 - Discount Rate (% APR)
BX 2 - Planning Period (Nper in years)
M 30 -  Flow (gpd)
W 100 - Influent Nitrogen Load
X 100 - Influent Phosphorus Load</t>
  </si>
  <si>
    <t>P 2 -     Flow per Home (gpd)
AN 2 - Project Cost Factor (%)
BU 2 - Discount Rate (% APR)
BX 2 - Planning Period (Nper in years)
M 32 -  Flow (gpd)
T 107 - Influent Nitrogen Load
U 107 - Influent Phosphorus Load</t>
  </si>
  <si>
    <t>P 2 -     Flow per Home (gpd)
AN 2 - Project Cost Factor (%)
BU 2 - Discount Rate (% APR)
BX 2 - Planning Period (Nper in years)
M 33 -  Flow (gpd)
Q 110 - Influent Nitrogen Load
R 110 - Influent Phosphorus Load</t>
  </si>
  <si>
    <t>P 2 -     Flow per Home (gpd)
AN 2 - Project Cost Factor (%)
BU 2 - Discount Rate (% APR)
BX 2 - Planning Period (Nper in years)
M 34 -  Flow (gpd)
Q 110 - Influent Nitrogen Load
R 110 - Influent Phosphorus Load</t>
  </si>
  <si>
    <t>P 2 -     Flow per Home (gpd)
AN 2 - Project Cost Factor (%)
BU 2 - Discount Rate (% APR)
BX 2 - Planning Period (Nper in years)
M 35 -  Flow (gpd)
Q 110 - Influent Nitrogen Load
R 110 - Influent Phosphorus Load</t>
  </si>
  <si>
    <t>No nutrient removal, but technology used in conjunction with other NT Technologies (i.e. aquaculture and floating constructed wetlands) to enhance nutrient removal.  
To be used to estimate costs only.
P 2 -     Flow per Home (gpd)
AN 2 - Project Cost Factor (%)
BU 2 - Discount Rate (% APR)
BX 2 - Planning Period (Nper in years)</t>
  </si>
  <si>
    <t>P 2 -     Flow per Home (gpd)
AN 2 - Project Cost Factor (%)
BU 2 - Discount Rate (% APR)
BX 2 - Planning Period (Nper in years)
M 40 -  Flow (gpd)
Q 40 - Influent Nitrogen Load
R 40- Influent Phosphorus Load</t>
  </si>
  <si>
    <t>P 2 -     Flow per Home (gpd)
AN 2 - Project Cost Factor (%)
BU 2 - Discount Rate (% APR)
BX 2 - Planning Period (Nper in years)
M 43 -  Flow (gpd)
W 100 - Influent Nitrogen Load
X 100- Influent Phosphorus Load</t>
  </si>
  <si>
    <t>P 2 -     Flow per Home (gpd)
AN 2 - Project Cost Factor (%)
BU 2 - Discount Rate (% APR)
BX 2 - Planning Period (Nper in years)
M 46 -  Flow (gpd)
T 113 - Influent Nitrogen Load
U 113 - Influent Phosphorus Load</t>
  </si>
  <si>
    <t>P 2 -     Flow per Home (gpd)
AN 2 - Project Cost Factor (%)
BU 2 - Discount Rate (% APR)
BX 2 - Planning Period (Nper in years)
M 47 -  Flow (gpd)
T 113 - Influent Nitrogen Load
U 113 - Influent Phosphorus Load</t>
  </si>
  <si>
    <t>P 2 -     Flow per Home (gpd)
AN 2 - Project Cost Factor (%)
BU 2 - Discount Rate (% APR)
BX 2 - Planning Period (Nper in years)
M 49 -  Flow (gpd)
T 113 - Influent Nitrogen Load
U 113 - Influent Phosphorus Load</t>
  </si>
  <si>
    <t>P 2 -     Flow per Home (gpd)
AN 2 - Project Cost Factor (%)
BU 2 - Discount Rate (% APR)
BX 2 - Planning Period (Nper in years)
M 50 -  Flow (gpd)
T 113 - Influent Nitrogen Load
U 113 - Influent Phosphorus Load</t>
  </si>
  <si>
    <t>P 2 -     Flow per Home (gpd)
AN 2 - Project Cost Factor (%)
BU 2 - Discount Rate (% APR)
BX 2 - Planning Period (Nper in years)
M 51 -  Flow (gpd)
T 113 - Influent Nitrogen Load
U 113 - Influent Phosphorus Load</t>
  </si>
  <si>
    <t>P 2 -     Flow per Home (gpd)
AN 2 - Project Cost Factor (%)
BU 2 - Discount Rate (% APR)
BX 2 - Planning Period (Nper in years)
N 20 -  Flow (gpd)
Q 100 - Influent Nitrogen Load
R 100 - Influent Phosphorus Load</t>
  </si>
  <si>
    <t xml:space="preserve">P 2 -     Flow per Home (gpd)
AN 2 - Project Cost Factor (%)
BU 2 - Discount Rate (% APR)
BX 2 - Planning Period (Nper in years)
N 26 - Acres
T 97 - Influent Nitrogen Load
U 97 - Influent Phosphorus Load
</t>
  </si>
  <si>
    <t xml:space="preserve">P 2 -     Flow per Home (gpd)
AN 2 - Project Cost Factor (%)
BU 2 - Discount Rate (% APR)
BX 2 - Planning Period (Nper in years)
N 31 - Acres
Q 107 - Influent Nitrogen Load
R 107 - Influent Phosphorus Load
</t>
  </si>
  <si>
    <t>P 2 -     Flow per Home (gpd)
AN 2 - Project Cost Factor (%)
BU 2 - Discount Rate (% APR)
BX 2 - Planning Period (Nper in years)
M 44 -  Flow (gpd)
W 100 - Influent Nitrogen Load
X 100- Influent Phosphorus Load</t>
  </si>
  <si>
    <t>P 2 -     Flow per Home (gpd)
AN 2 - Project Cost Factor (%)
BU 2 - Discount Rate (% APR)
BX 2 - Planning Period (Nper in years)
M 45 -  Flow (gpd)
W 100 - Influent Nitrogen Load
X 100- Influent Phosphorus Load</t>
  </si>
  <si>
    <t>Coastal Habitat (N removed/acre)</t>
  </si>
  <si>
    <t>P 2 -     Flow per Home (gpd)
AN 2 - Project Cost Factor (%)
BU 2 - Discount Rate (% APR)
BX 2 - Planning Period (Nper in years)
N 37 - Acres
W 108 - Nitrogen removed per acre (Low)
X 108 - Nitrogen removed per acre (High)</t>
  </si>
  <si>
    <t>P 2 -     Flow per Home (gpd)
AN 2 - Project Cost Factor (%)
BU 2 - Discount Rate (% APR)
BX 2 - Planning Period (Nper in years)
O 38 -  Flow (gpd)
0 38 - Influent Nitrogen Load
R 38 - Influent Phosphorus Load</t>
  </si>
  <si>
    <t>P 2 -     Flow per Home (gpd)
AN 2 - Project Cost Factor (%)
BU 2 - Discount Rate (% APR)
BX 2 - Planning Period (Nper in years)
L 48 -  Flow (gpd)
T 113 - Influent Nitrogen Load
U 113 - Influent Phosphorus Load</t>
  </si>
  <si>
    <t>Cubic Foot,
Liner Foot,
Cubic Yard,
Curb Mile, Each, Gallon or DTPD</t>
  </si>
  <si>
    <t>Technology Efficiency - PV Average Cost for Nutrient Reducing Technology (see Note 31 and Note 32)</t>
  </si>
  <si>
    <t>Watershed Reduction Efficiency - PV Average Cost for Nutrient Reducing Technology (see Note 31 and Note 32)</t>
  </si>
  <si>
    <t>Reduction for Technology per Planning Period</t>
  </si>
  <si>
    <t>Reduction for Watershed per Planning Period</t>
  </si>
  <si>
    <t>Watershed Baseline Condition (MEP)</t>
  </si>
  <si>
    <t xml:space="preserve">4.  Flows presented in Column M are Annual Average Daily Flows. </t>
  </si>
  <si>
    <t>(1) Interstate Technology &amp; Regulatory Council, PRB Technology Update, 2011.
(2) Construction cost based on 3 foot wide trench at 24 feet deep.
(3) Groundwater denitrification capacity and nitrous oxide flux of former fringing salt marshes filled with human-transported materials
(4) CICEET - Effectiveness of Reactive Barriers for Reducing N-Loading to the Coastal Zone - 02-28-08
(5) Gallons per day (GPD) in Column M assumes a groundwater flow of 2 ft/day or 2 cubic feet of groundwater flowing for every cubic foot of PRB times the depth (in feet) of the saturated portion of the PRB treating groundwater.</t>
  </si>
  <si>
    <t>P 2 -     Flow per Home (gpd)
AN 2 - Project Cost Factor (%)
BU 2 - Discount Rate (% APR)
BX 2 - Planning Period (Nper in years)
N 9 -    Acres
T 97 - Influent Nitrogen Load
U 97 - Influent Phosphorus Load</t>
  </si>
  <si>
    <t xml:space="preserve">Fertigation Wells and Constructed Wetlands for Treatment of Groundwater </t>
  </si>
  <si>
    <t>Site Specific.  Generally requires detailed pond study to determine nutrient removal loads..  Costs vary greatly by project.
P 2 -     Flow per Home (gpd)
AN 2 - Project Cost Factor (%)
BU 2 - Discount Rate (% APR)
BX 2 - Planning Period (Nper in years)
M 41 -  Flow (gpd)
R 41- Influent Phosphorus Load
U 41 - Phosphorus Reduction (Low)
V 41 - Phosphorus Reduction (High)
AH 41 - Est. Construction Costs (Low)
AI 41 - Est. Construction Costs (High)
AS 41 - Est. Annual O&amp;M Costs (Low)
AT 41 - Est. Annual O7M Costs (High)</t>
  </si>
  <si>
    <t>Input table used to develop construction costs and O&amp;M costs for PRBs based on estimated PRB length and Nitrate Load within Capture Area.</t>
  </si>
  <si>
    <t>3. Column J presents the general requirements that need to be considered when siting the Technology are presented.  The user of the Technology Matrix must understand that the siting requirements will be site specific with additional engineering necessary to determine if a technology is applicable to a specific location.</t>
  </si>
  <si>
    <t>5. Cell P2 is the annual average household flow on the Cape of 160 gal/household/day which is based on water use records.</t>
  </si>
  <si>
    <t>6. The Equivalent Number of Homes is the annual average wastewater flow in Column M divided by the annual average household flow in Cell R2.</t>
  </si>
  <si>
    <t>16.  Project Cost equals the Construction Cost plus 40 percent  or as specified value in (Cell AN2) for  Engineering (Design and Construction Engineering) , Municipal Administrative, Legal Costs and Contingency.</t>
  </si>
  <si>
    <t>28.  Monitoring of a technology will generally occur for the life of the system.  Monitoring of most of the non-traditional technologies will be required to establish the nitrogen load being removed by a technology.  The length of this monitoring period is estimated.  Annual monitoring costs are included in the annual O&amp;M cost estimates for the duration the technology is used..</t>
  </si>
  <si>
    <t>29.  Column DO presents various references, notes, and assumptions utilized in the development of the information presented for each technology.</t>
  </si>
  <si>
    <r>
      <t xml:space="preserve">30.  Project Cost (PV):  Present value of equipment replaced periodically over the course of the planning period is found using the Present Value (PV) function in Excel:  PV(rate, nper, pmt, [fv], [type]) where </t>
    </r>
    <r>
      <rPr>
        <u/>
        <sz val="10"/>
        <rFont val="Times New Roman"/>
        <family val="1"/>
      </rPr>
      <t>rate</t>
    </r>
    <r>
      <rPr>
        <sz val="10"/>
        <rFont val="Times New Roman"/>
        <family val="1"/>
      </rPr>
      <t xml:space="preserve"> is the effective interest rate for the equipment replacement cycle, based on the useful life of the equipment and the stated annual interest rate in Cell BY2 {formula: Effective Interest Rate= [(1+Nominal Rate)^Useful Life]-1}; </t>
    </r>
    <r>
      <rPr>
        <u/>
        <sz val="10"/>
        <rFont val="Times New Roman"/>
        <family val="1"/>
      </rPr>
      <t>nper</t>
    </r>
    <r>
      <rPr>
        <sz val="10"/>
        <rFont val="Times New Roman"/>
        <family val="1"/>
      </rPr>
      <t xml:space="preserve"> is the number of replacements, found by dividing the equipment useful life (column BI) into the planning period, rounded up to the next-higher integer; </t>
    </r>
    <r>
      <rPr>
        <u/>
        <sz val="10"/>
        <rFont val="Times New Roman"/>
        <family val="1"/>
      </rPr>
      <t>pmt</t>
    </r>
    <r>
      <rPr>
        <sz val="10"/>
        <rFont val="Times New Roman"/>
        <family val="1"/>
      </rPr>
      <t xml:space="preserve"> is the estimated replacement cost for the equipment (column BJ) - not adjusted for inflation; and </t>
    </r>
    <r>
      <rPr>
        <u/>
        <sz val="10"/>
        <rFont val="Times New Roman"/>
        <family val="1"/>
      </rPr>
      <t>fv</t>
    </r>
    <r>
      <rPr>
        <sz val="10"/>
        <rFont val="Times New Roman"/>
        <family val="1"/>
      </rPr>
      <t xml:space="preserve"> and </t>
    </r>
    <r>
      <rPr>
        <u/>
        <sz val="10"/>
        <rFont val="Times New Roman"/>
        <family val="1"/>
      </rPr>
      <t>type</t>
    </r>
    <r>
      <rPr>
        <sz val="10"/>
        <rFont val="Times New Roman"/>
        <family val="1"/>
      </rPr>
      <t xml:space="preserve"> are  optional parameters not used for this calculation.  Note that rounding the nper parameter upward provides for scenarios where the planning period is not evenly divisible by the useful life of the equipment.  The estimate of present value in those cases includes sufficient investment to fund one replacement after the end of the planning period. </t>
    </r>
  </si>
  <si>
    <r>
      <t>17.  The construction cost for Cluster Treatment Systems - Single-stage, Conventional Treatment, and Satellite Treatment Facilities are based on the Cost Curve in Appendix A of the Barnstable County Cost Report (BCCR) Update (2014) which has an equation 
of  y = 3698.1x</t>
    </r>
    <r>
      <rPr>
        <vertAlign val="superscript"/>
        <sz val="10"/>
        <color rgb="FF000000"/>
        <rFont val="Times New Roman"/>
        <family val="1"/>
      </rPr>
      <t>-0.381</t>
    </r>
    <r>
      <rPr>
        <sz val="10"/>
        <color rgb="FF000000"/>
        <rFont val="Times New Roman"/>
        <family val="1"/>
      </rPr>
      <t>.</t>
    </r>
    <r>
      <rPr>
        <vertAlign val="superscript"/>
        <sz val="10"/>
        <color rgb="FF000000"/>
        <rFont val="Times New Roman"/>
        <family val="1"/>
      </rPr>
      <t xml:space="preserve"> </t>
    </r>
    <r>
      <rPr>
        <sz val="10"/>
        <color rgb="FF000000"/>
        <rFont val="Times New Roman"/>
        <family val="1"/>
      </rPr>
      <t xml:space="preserve">  The construction cost for Cluster Treatment System - Two-stage, Advanced Treatment, Satellite Treatment - Enhanced Facilities are based on the same Cost Curve plus a 20 percent factor for the higher level of treatment.  </t>
    </r>
  </si>
  <si>
    <r>
      <t>18.  The operation and maintenance cost for Cluster Treatment System - Single-stage, Conventional Treatment, and Satellite Treatment Facilities are based on the Cost Curve in Appendix B of the Barnstable County Cost Report (BCCR) Update (2014) which has an equation 
of  y = 626.43x</t>
    </r>
    <r>
      <rPr>
        <vertAlign val="superscript"/>
        <sz val="10"/>
        <color rgb="FF000000"/>
        <rFont val="Times New Roman"/>
        <family val="1"/>
      </rPr>
      <t>-0.421</t>
    </r>
    <r>
      <rPr>
        <sz val="10"/>
        <color rgb="FF000000"/>
        <rFont val="Times New Roman"/>
        <family val="1"/>
      </rPr>
      <t>.</t>
    </r>
    <r>
      <rPr>
        <vertAlign val="superscript"/>
        <sz val="10"/>
        <color rgb="FF000000"/>
        <rFont val="Times New Roman"/>
        <family val="1"/>
      </rPr>
      <t xml:space="preserve"> </t>
    </r>
    <r>
      <rPr>
        <sz val="10"/>
        <color rgb="FF000000"/>
        <rFont val="Times New Roman"/>
        <family val="1"/>
      </rPr>
      <t xml:space="preserve">  The project cost for Cluster Treatment System - Two-stage, Advanced Treatment, Satellite Treatment - Enhanced Facilities are based on the same Cost Curve plus a 20 percent factor for the higher level of treatment.</t>
    </r>
  </si>
  <si>
    <t>25. The user of the Technology Matrix presents information on specific technologies and approaches which may or may not be able to be used as a single solution and therefore may or may not be able to be  compared directly to one another.  For example, the user must assemble various cost elements (collection, treatment and disposal, for example) to be able to make a fair comparison between approaches that require collection and off-site disposal versus those that involve on-site treatment and disposal.  Column CY presents summary of infrastructure to Consider when Designing and Pricing various Technologies/ Strategies.</t>
  </si>
  <si>
    <t>31.  Technology Efficiency  estimates the Life Cycle Cost for each of the nutrient reducing technologies.  The Technology Efficiency Life Cycle Cost includes estimates for the design, permitting, construction and O&amp;M costs of each technology divided by the total nutrient removed by that technology over the life cycle of the technology.  The Technology Efficiency Life Cycle Costs of each technology can be compared to estimate the relative Life Cycle Costs .</t>
  </si>
  <si>
    <t xml:space="preserve">32. The Watershed Reduction Efficiency estimates the Life Cycle Cost where the installation of a traditional or non-traditional technology results in the removal / abandonment of an existing Title 5 septic system.  Technologies where septic systems are abandoned or removed are generally those that have a collection system that removes wastewater from an existing site with a septic system to a WWTF.   The Watershed Reduction Efficiency Life Cycle Cost includes estimates for the design, permitting, construction and O&amp;M costs of each technology divided by the total nutrient removed that technology over the life cycle of the technology minus the nitrogen removed by the abandoned septic system.  In general, the nitrogen concentration entering a septic system is approximately 40 mg/L.  According to Mass Estuaries Project (MEP) reports, the nitrogen concentration the nitrogen concentration entering the water table is 26.25 mg/L.  This nitrogen reduction includes what is removed by the septic system and the microbial activity that occurs between the septic system discharge and the groundwater table (see Note 12); a nitrogen reduction of approximately 34 percent.  Please note that not every technology requires the removal of an existing septic system, so not every technology has a different value between the Technology Efficiency and the Watershed Reduction Efficiency.  </t>
  </si>
  <si>
    <t>(1) Barnstable County Cost Report, April 2010.
(2) Low end reflects only a basic system with no new grading or pump required for raised leaching field.  Many replacement systems that require upgrade to meet current Title 5 standards (1994 vs 1978) may require &gt; GW offset or other site restriction that demands pumped effluent to leaching field. New septic tanks should include effluent Tee filter to minimize solids carry-over to field.
(3) See Note 12..</t>
  </si>
  <si>
    <t xml:space="preserve">(1) Barnstable County Cost Report, April 2010.
(2) The MassDEP standards for operation and maintenance of I/A systems can be found at: 
       http://www.mass.gov/eea/agencies/massdep/water/wastewater/maintaining-and-repairing-innovative-alternative-system.html
(3)  Approved I/A systems are provided at the following MassDEP website: 
       http://www.mass.gov/eea/agencies/massdep/water/wastewater/septic-systems-title-5.html#1
 . </t>
  </si>
  <si>
    <t>(1) Barnstable County Cost Report, April 2010.</t>
  </si>
  <si>
    <t>After primary treatment in a septic tank or WWTF or secondary treatment at a WWTF, water is fed into a free water surface (FWS) constructed wetland.  Free water constructed wetlands closely mimic the ecosystem of a natural wetland by utilizing water loving plants to filter wastewater through their root zone, a planted medium, and open water zones.  FWS wetlands are systems where open water is exposed much like in a natural marsh.  The reclaimed water is generally discharged into a leach field or similar system for discharge to the groundwater. The reclaimed water can also  be discharged into a water body or used for open space irrigation after treatment.  However,  more strict permitting and water quality standards must me met if not discharging to groundwater. This technology can be  used as an alternative to conventional polishing (i.e. mechanical and/or chemical) of secondary and advanced wastewater treatment.</t>
  </si>
  <si>
    <t>After  collecting groundwater with higher nitrogen concentrations, groundwater is treated by pumping water slowly through subsurface gravel beds where it is filtered through plant root zones and soil media.  Water flows 3" to 8" under the surface to prevent public exposure to wastewater and mosquito breeding.  A combination of horizontal and vertical flow subsurface systems must be utilized to provide total nitrogen removal.  These systems occasionally use additional treatment steps to remove nutrients from wastewater.  The preferred disposal method is an infiltrator chamber system similar to a leach field but larger in size and designed for overflows.  The reclaimed water is generally then discharged to the groundwater. The reclaimed water can also  be discharged into a water body or used for open space irrigation after treatment.  However,  more strict permitting and water quality standards must be met if not discharging to groundwater.</t>
  </si>
  <si>
    <t>Hydroponic treatment and Photo Bioreactors are natural systems that treat septic tank effluent or primarily treated wastewater.  With Hydroponic Treatment, aeration and clarification chambers are combined with constructed wetlands to treat the influent.  The wetlands are a series of chambers allowing for microbial communities to engage with and treat the wastewater.  Plants are often suspended on racks with their roots systems doing the work.  Solids removal is generally onsite, after which water is pumped through the gravel filled cells (similar to subsurface wetlands.)  This process transfers more oxygen to the wastewater and completes the pollutant removal process.  The wetland effluent can be discharged into a water body or used for open space irrigation after treatment.  The wetland effluent can also be discharged into a leach field or similar system for discharge to the groundwater. This technology can also be used for wastewater treatment  with primary, secondary, or advanced effluent generally for flows less than 500,00 gpd.</t>
  </si>
  <si>
    <t>After secondary treatment, WWTF effluent is irrigated onto plants to remove nutrients and other contaminants.  Fast growing poplar and willow trees are typically used.  Phytoirrigation requires periodic maintenance and removal of the vegetation being irrigated.</t>
  </si>
  <si>
    <t>Stormwater treatment by using plants to remove nutrients and other contaminants.  Fast growing poplar and willow trees as well as other plants are typically used.</t>
  </si>
  <si>
    <t>Vegetated swales, such as a grassed channel, dry swale, wet swale or biofilter, are open-channels used to convey stormwater runoff. Vegetated swales typically do not pond water for a long period of time and induce infiltration.  Vegetated swales typically have a trapezoidal or parabolic shape with relatively flat side slopes.  Individual vegetated swales generally treat small drainage areas (five acres or less).</t>
  </si>
  <si>
    <t xml:space="preserve">Subsurface gravel wetlands typically have a high pollutant removal efficiency.  They filter stormwater as it flows horizontally through a sediment forebay and a series of gravel-bottomed wetland cells.  The wetland cells consist of a thin layer of wetland soil which supports a thick vegetative cover, below which is a thick layer of gravel where algae and microbes grow in abundance.  Treatment occurs through physical, biological and chemical reactions in the wetland soil and gravel layers.  Water flows through the series of cells via subsurface pipes and is discharged to a receiving waterway or additional best management practice (BMP) through a submerged pipe in the final cell.  These systems are designed to maintain constant saturation of the wetland soils. </t>
  </si>
  <si>
    <t>Bioretention is the process in which contaminants and sedimentation are removed from stormwater runoff through physical, biological and chemical treatment processes.  Stormwater is collected into the treatment area which consists of a grass buffer strip, sand bed, ponding area, organic layer or mulch layer, planting soil, and plants. Runoff passes first over or through a sand bed, which slows the runoff's velocity, distributes it evenly along the length of the ponding area, which consists of a surface organic layer and/or groundcover and the underlying planting soil.  The ponding area is graded, its center depressed.  Water is ponded and gradually infiltrates the bioretention area or is evapotranspired.  The bioretention area is graded to divert excess runoff away from itself. Stored water in the bioretention area planting soil exfiltrates over a period of days into the underlying soils.</t>
  </si>
  <si>
    <t>Constructed wetlands provide aerobic chambers followed by subsurface anaerobic chambers that facilitate nitrification followed by denitrification, respectively.  This process mimics that of natural systems coupled with engineering design to guarantee residence time within a chamber containing anaerobic conditions. This partnership allows for year round removal efficiencies of nitrogen.  The reclaimed water from the wetland can be discharged into a water body or used for open space irrigation after treatment.  The reclaimed water can also be discharged into a leach field or similar system for discharge to the groundwater.</t>
  </si>
  <si>
    <t>Shellfish, and specifically oysters, remove nitrogen from their environment. The growing and removal of the mature oysters can remove nitrogen from an estuary, reducing the estuary's nitrogen load.  Aquaculture can become a dual purpose project where shellfish are harvested for market while there will be a local reduction in nitrogen in the overlying water column during the growth and maturation of the oysters. This method of aquaculture cultivates the shellfish in the benthic soils of the estuary or estuary bed.  Harvesting a portion of the oysters is required to remove nitrogen.  Cultivating shellfish in the estuary bed can be used in combination with other types of aquaculture as well as floating constructed wetlands designed for brackish water.</t>
  </si>
  <si>
    <t>Shellfish, and specifically oysters, remove nitrogen from their environment. The growing and removal of the mature oysters can remove nitrogen from an estuary, reducing the estuary's nitrogen load.  Aquaculture can become a dual purpose project where shellfish are harvested for market while there will be a local reduction in nitrogen in the overlying water column during the growth and maturation of the oysters. This method of aquaculture cultivates shellfish above the estuary bed in containers. Harvesting a portion of the oysters is required to remove nitrogen.  Aquaculture can be used in combination with mariculture, as well as floating constructed wetlands designed for brackish water.</t>
  </si>
  <si>
    <t>Seaweed and other marine vegetation remove nitrogen from their environment. The cultivation and removal of the marine vegetation can remove nitrogen from an estuary, reducing the estuary's nitrogen load.  Mariculture can become a dual purpose project where seaweed can be harvested for market while there will be a local reduction in nitrogen in the overlying water column during the growth and maturation of the seaweed. This method of aquaculture cultivates marine vegetation such as seaweed to remove nitrogen.  Harvesting a portion of the vegetation may be required to remove nitrogen.  Mariculture can be used in combination with other types of aquaculture as well as floating constructed wetlands designed for brackish water.</t>
  </si>
  <si>
    <t xml:space="preserve">Green plants with deep tap roots are planted as a buffer to intercept high nitrogen (nitrogen enriched) groundwater. The plants and microorganisms in their root zone reduce/use the nitrogen, removing it from the groundwater and watershed.  Phytoremediation can be used to redirect a plume of nitrogen enriched groundwater or pull it up from deeper in the aquifer, allowing the plants to treat the plume.  </t>
  </si>
  <si>
    <t xml:space="preserve">A permeable reactive barrier (PRB) is an in-situ (installed within the aquifer) treatment zone designed to intercept nitrogen enriched groundwater.  Through use of a carbon source (the PRB medium), microbes in the groundwater uptake the nitrogen, denitrifying the groundwater. The trench method PRB uses large trenching equipment to install a mixture of coarse sand, wood chips, compost and/or other materials (medium) in the trench created by the trencher.  The vertical wall can be installed to a depth of 40 feet with a width of 1.5 to 3 feet; PRBs can also be installed in large diameter columns. As groundwater flows through the wall, the medium provides a carbon source for microbes living in the groundwater.  The microbes consume the carbon source as well as oxygen, developing an anaerobic environment which releases nitrogen gas to the atmosphere, reducing the groundwater nitrogen load before reaching the estuary.  </t>
  </si>
  <si>
    <t>Fertigation consists of capturing nitrogen enriched groundwater using irrigation wells and using it to irrigate plants that use the nitrogen.  Fertigation wells can capture nutrient enriched groundwater, typically from a WWTF discharge, and recycle it back to irrigated and fertilized turf grass areas.  These irrigated areas include golf courses, athletic fields and lawns.  Fertigation can significantly reduce nutrient loads to down-gradient surface waters while reducing fertilizer costs to the irrigated areas.</t>
  </si>
  <si>
    <t>Fertigation consists of capturing nitrogen enriched groundwater using irrigation wells and using it to irrigate plants that use the nitrogen.  Fertigation wells can capture nutrient enriched groundwater and recycle it back to irrigated crops, such as cranberry bogs.  Fertigation can significantly reduce nutrient loads to down-gradient surface waters while reducing fertilizer costs to the cranberry bog.</t>
  </si>
  <si>
    <t>A composting toilet is a system which separates human waste from shower, sink and other household water uses. It uses no or minimal amounts of water. The human waste captured by the composting toilet is decomposed and turned into compost.  The compost generated from composting toilets can be used as fertilizer to replace synthetic fertilizers or can be removed from the site.  Composting toilets require the installation of a separate toilet(s) and room in the basement for a container to capture and compost the human waste.  Household water use (i.e. sink and shower uses) continue to flow to the septic system.</t>
  </si>
  <si>
    <t>Incinerating toilets are self-contained waterless systems that do not require being hooked-up to a sewer system or in-ground septic system (except to dispose of gray water). They rely on electric power or natural or propane gas to incinerate human waste to sterile, clean ash. When properly installed these systems are simple to use, safe, clean and relatively easy to maintain.  Composting toilets require the installation of a separate toilet(s).  Household water use (i.e.. sink and shower uses) continue to flow to the septic system.</t>
  </si>
  <si>
    <t>Urine diversion systems divert urine into a holding tank where the urine is stored and periodically collected by a servicing company.  The servicing company empties the tank for disposal or conversion to a fertilizer.  Through these means, the nitrogen is removed from the watershed.  With urine diverting toilets, the remainder of the human waste and all other water uses (sink and shower) continue to go to the septic system.</t>
  </si>
  <si>
    <t>This approach relies on managing fertilizer application rates to lawns, golf courses, athletic facilities and cranberry bogs.  Residential lawn loading rates could be reduced on existing developed parcels through an intensive public education/outreach program. This could include a “Cape Cod Lawn” branding program, replacing some turf areas with native vegetation, establishing naturally-vegetated buffer strips on waterfront lots, and reducing application rates.  Fertilizer loading rates for new development could be accomplished by reducing lot sizes (cluster development), by restricting lawn sizes and/or by incorporating more naturally-vegetated open space areas.  Municipalities could directly reduce fertilizer applications on athletic fields and other properties.  Golf courses can significantly reduce nitrogen loading rates by using slow-release fertilizers and reducing application rates in rough areas.   Cranberry bog fertilizer exports from the bogs can be reduced using tail water recovery systems.  Site-specific assessments are needed to estimate load reductions.</t>
  </si>
  <si>
    <t>TDR is a regulatory strategy that transfers development and development rights from one property (sending area) to another (receiving area) to direct growth and associated nutrient loading away from sensitive receiving watersheds or water bodies. The protected parcels (sending areas) receive a deed restriction that limits future development potential.  The deed restriction can limit the number of homes or tie development to the availability of future WWTF infrastructure.</t>
  </si>
  <si>
    <t>This approach considers re-engineering and reconstruction of bridge or culvert openings to increase the tidal flux through the culvert or inlet.  In the right settings, increasing the tidal flux can decrease the nitrogen residence time, lowering the nutrient concentration in the estuary and/or tidal marsh upstream of the widened inlet or culvert.</t>
  </si>
  <si>
    <t>Restoration of coastal habitats includes establishing and/or enhancing estuary salt marshes, eel grass beds, as well as shellfish and oyster beds together as an ecosystem.   When considering restoration of coastal habitats, implementing these ecosystems jointly should be considered.  The installation of riparian buffer zones and Floating Constructed Wetlands should be considered when restoring coastal habitats.  Habitat restoration should focus on creating or rehabilitating habitats, including creating communities that are natural to the area.</t>
  </si>
  <si>
    <t>FCWs are manmade floating "islands" that act as floating wetlands that treat waters within ponds and estuaries.  The islands are made of recycled materials that float on ponds or estuaries, exposing the plant's roots to the pond and estuarine waters.  The root zones provide habitat for fish and microorganisms while reducing nitrogen and phosphorus levels.  The floating islands can also be designed to allow shellfish and seaweed to grow which can be harvested, offsetting some of the systems costs.  Some systems circulate surface water through the island, exposing the water to the root zones of the plants.  The islands can be installed with shellfish beds and/or salt marsh grasses potentially assisting with their establishment.  The islands are generally stationary and can be installed with walkways to access and maintain the plants growing on the islands.  The islands require little O&amp;M and do not need to be removed during the winter months, even if freezing water is a concern.</t>
  </si>
  <si>
    <t>The circulation of pond and estuary water increases the oxygen concentration while reducing nutrients (nitrogen and/or phosphorus) concentrations, reducing odors, and enhancing fish habitat.  The circulation is generally performed mechanically by installing solar or electric powered circulators. Pond and estuary circulators work by reducing stratification in ponds and estuaries.  Anoxic conditions can occur within the lower stratified layers leading to harmful algae blooms, fish kills and odors.  Circulators mix these stratified layers, thereby increasing dissolved oxygen concentrations throughout the pond depths.</t>
  </si>
  <si>
    <t>Chemical treatment of ponds can be used to inactivate phosphorus in the benthic sediment. Even when external sources of phosphorus have been curtailed by best management practices,  the internal recycling of phosphorus can continue to support explosive algal growth. A chemical that is typically used for phosphorus inactivation is alum. On contact with water, alum forms a fluffy aluminum hydroxide precipitate called flock. Aluminum hydroxide  binds with phosphorus to form an aluminum phosphate compound. This compound is insoluble in water under most conditions so the phosphorus in it can no longer be used as food by algae. The aluminum phosphate compound will settle on the pond bottom.</t>
  </si>
  <si>
    <t>Lakes, ponds, streams and estuaries store nutrients within their sediments. These sediments tend to accumulate over time.  Subsequently, these nutrients can be released into the overlying water column and can become a major source of nitrogen and phosphorus.  Dredging and removing these sediments and accumulated nutrients removes the nutrients from the water body and potentially the watershed.</t>
  </si>
  <si>
    <t xml:space="preserve">● Highly scalable and customizable.
● Lower capital and annual O&amp;M cost than secondary and tertiary treatment.  
● Easy to integrate public recreation amenities.  
● Proven Technology.  
● Suited for nitrate and nitrite removal
</t>
  </si>
  <si>
    <t xml:space="preserve">● Very efficient and requires less land area than Free Water Surface wetlands.
● Water stays below surface so may not require disinfection.
● Lower capital and annual O&amp;M cost than secondary and tertiary treatment.  
● Easy to integrate public recreation amenities.  
● Proven Technology.  
● Suited for nitrate and nitrate removal
</t>
  </si>
  <si>
    <t xml:space="preserve">● Lower capital and annual O&amp;M cost than tertiary treatment.  
● Easy to integrate public recreation amenities.  
● Proven Technology.  
● Suited for ammonia removal.
</t>
  </si>
  <si>
    <t xml:space="preserve">(1) Average Removal Rate (P 419) and Median Total Nitrogen Removal Rate (P 308), Median Phosphorus Removal Rate (P 378) from Kadlec and Wallace, Treatment Wetlands 2nd Ed.
(2) Range of wetland costs  (P 132-133) and Wastewater effluent concentrations (converted to lbs/gal) data taken from Table 3-1  from Constructed Wetlands Treatment of Municipal Wastewaters. EPA.1999
(3) Range of O&amp;M values from Jim Kreissl, Constructed Wetlands Treatment for Nutrient Treatment for Nutrient Reduction, Presentation at POTW Nutrient Reduction and Efficiency Workshop, 2008. 
(4) Average Gal./day/acre derived from Table 2. Ogden, Michael.  Costs of Constructed Wetland Systems.  Prepublication copy for presentation at WEFTEC '98, 1998.
(5) Flow range of 5 precedents evaluated by Offshoots, Inc., June 2013.
(6) 1 acre of FWS CTW at 330 gpd = 45-70 homes/acre for Total Nitrogen.  Assumptions : Q = 330 gpd (1.25 m3/d); Ci = 20 mg/l (Total N); Ce = 5 mg/l (Total N); k (areal rate constant) = 10-20 m/yr., C* = 1.5 mg/l (background value). Equates to 0.010 to 0.020 acres/330 gpd.
(7) Influent Concentrations: (a) For Primary WWTF Effluent assume:  (N) =.0004lbs/gal (52.5mg/l), (P)=7.92 × 10-5  lbs/gal (9.5mg/l), and (b) For Secondary WWTF effluent assume: (N)=.0001 lbs/gal (15mg/l), and (P)=2.92 × 10-5  lbs/gal (3.5mg/l).
(8)  Improving Winter Performance of Constructed Wetlands for Wastewater Treatment in Northern China: A Review
(9) USEPA Wetlands Subsurface Flow Fact Sheet
(10)  Without the use of water aeration such as Solar Bees, Free Water Surface systems will not typically meet discharge limits for BOD and TSS .  However, water aeration augments protozoan, invertebrate, and fish populations which harvest large amounts of algae. estimates/acre.
*Systems not designed to remove phosphorus.  Phosphorus removal in these smaller systems requires lengthy retention times and/or use of specialized media to increase sorption    
**Based on 44,000GPD / 2.08 acre total treatment area for Fields of St Croix constructed wetland system in Lake Elmo, MN 
(11) Calculation Basis for Calculator  - For No Collection System - (a) Need to add effluent disposal costs; (b) Use pricing for infiltration basins ($3 to $5/sqft).  Average $4/sqft; (c) Metric is gpd; (d) Assumed flow for infiltration basin is approximately 4 gpd/sqft (fine to course sandy soils); and (e) Modify construction costs by adding the following  - input flow (gpd) divided by 4 gpd/sqft times $4/sqft.
(12) Calculation Basis for Calculator  - For  Collection System, Treatment and Disposal - (a) Need to add collection, system treatment and effluent disposal costs; (b) Use pricing for infiltration basins ($3 to $5/sqft).  Average $4/sqft; (c) Metric is gpd; (d) Assumed flow for infiltration basin is approximately 4 gpd/sqft (fine to course sandy soils); (e) Modify construction costs by adding the following  - input flow (gpd) divided by 4 gpd/sqft times $4/sqft (f) • Use pricing for collection system from matrix ($3 to $5/sqft).  Average $4/sqft (g) Need equation for size (cost) of collection system based on metric of gpd.  Alternative is to use costs from MVP after targeting area to sewer; and (h) Need costs or cost curve to size and cost a primary WWTF.  Alternative is to use costs from MVP after targeting area to sewer.
</t>
  </si>
  <si>
    <t>After primary treatment in a septic tank or WWTF or secondary treatment at a WWTF, wastewater is treated by pumping water slowly through subsurface gravel beds where it is filtered through plant root zones and soil media.  Water flows 3-8" under the surface to prevent public exposure to wastewater and mosquito breeding.  A combination of horizontal and vertical flow subsurface systems must be utilized to provide total nitrogen removal. The reclaimed water is generally discharged into a leach field or similar system for discharge to the groundwater. The reclaimed water can also  be discharged into a water body or used for open space irrigation after treatment.  However,  more strict permitting and water quality standards must me met if not discharging to groundwater. This technology can be  used as an alternative to conventional polishing (i.e. mechanical and/or chemical) of secondary and advanced wastewater treatment.</t>
  </si>
  <si>
    <t xml:space="preserve">A permeable reactive barrier (PRB) is an in-situ (installed within the aquifer) treatment zone designed to intercept nitrogen enriched groundwater.  Through use of a carbon source, microbes in the groundwater uptake the nitrogen, denitrifying the groundwater. An injection Well PRB system typically uses a series of injection wells to introduce the carbon source (medium) into the groundwater.   The injection wells can be installed to depth greater than the PRB trench method.  The injection well PRB method can be used in combination with the PRB trenching method described previously. As groundwater flows through the medium, microbes naturally occurring in the groundwater consume the carbon source, as well as oxygen, developing an anaerobic environment. This process releases nitrogen gas to the atmosphere, reducing the groundwater nitrogen load before reaching the estuary.  </t>
  </si>
  <si>
    <t xml:space="preserve">A permeable reactive barrier (PRB) is an in-situ (installed within the aquifer) treatment zone designed to intercept nitrogen enriched groundwater.  Through use of a carbon source, microbes in the groundwater uptake the nitrogen, denitrifying the groundwater. An injection Well PRB system typically uses a series of injection wells to introduce the carbon source (medium) into the groundwater.   The injection wells can be installed to depth greater than the PRB trench method.  The injection well PRB method can be used in combination with the PRB trenching method described previously. As groundwater flows through the medium, microbes naturally occurring in the groundwater consume the carbon source, as well as oxygen, developing an anaerobic environment. This process releases nitrogen gas to the atmosphere, reducing the groundwater nitrogen load before reaching the estuary. </t>
  </si>
  <si>
    <t xml:space="preserve">P 2 -     Flow per Home (gpd)
AN 2 - Project Cost Factor (%)
BU 2 - Discount Rate (% APR)
BX 2 - Planning Period (Nper in years)
N 25 - Acres
T 97 - Influent Nitrogen Load
U 97 - Influent Phosphorus Load
</t>
  </si>
  <si>
    <t xml:space="preserve">Site Specific - Generally requires hydrodynamic modeling of inlet to determine change in nutrient load.  Costs generally vary greatly by project.
M 35 -  Flow (gpd)
Q 35 - Influent Nitrogen Load
R 35 - Influent Phosphorus Load
S 35 - Nitrogen Reduction (Low)
T35 - Nitrogen Reduction (High)
U35 - Phosphorus Reduction (Low)
V35 - Phosphorus Reduction (High)
</t>
  </si>
  <si>
    <t>(1) Bournes Pond.
(2) Actual costs will be site specific.
(3) In general increasing the capacity of bridges and culverts is a good way to increase upstream and downstream water quality and enhance upstream habitats.  However, care must be taken in the design so as not to adversely effect upstream and downstream habitats and or negatively impact upstream or downstream properties and structures.  The design requires detailed modeling (preferably 2-dimensional hydrodynamic modeling) to quantify the potential upstream and downstream impacts.
(4) Calculation Basis - Costs based on Pond Dredging which has a stable nutrient load and therefore P (or N) reduction can be calculated; (b) Dredging in estuary is difficult as N load varies as well as flushing of the estuary; (c) costs change based on depth of excavation and may involve removing and replacing infrastructure; and (d) requires modeling to identify nutrient reduction and costs.</t>
  </si>
  <si>
    <t xml:space="preserve">Site Specific.  Generally requires detailed pond study to determine nutrient removal loads..  Costs vary greatly by project.
P 2 -     Flow per Home (gpd)
AN 2 - Project Cost Factor (%)
BU 2 - Discount Rate (% APR)
BX 2 - Planning Period (Nper in years)
M 42 -  Flow (gpd)
Q 42 -  Nitrogen Load (low)
R 42 -  Phosphorus Load (high)
</t>
  </si>
  <si>
    <r>
      <rPr>
        <b/>
        <sz val="10"/>
        <rFont val="Times New Roman"/>
        <family val="1"/>
      </rPr>
      <t>User Information</t>
    </r>
    <r>
      <rPr>
        <sz val="10"/>
        <rFont val="Times New Roman"/>
        <family val="1"/>
      </rPr>
      <t xml:space="preserve">
The user of the Technology Matrix must understand watershed site specific conditions when selecting technologies to be evaluated.  As an example, the unit costs for decentralized options that involve on-site or local disposal must be combined with an estimate of the additional nitrogen removal required by in-watershed disposal. Similarly, disposal in non-nitrogen sensitive watershed will generally reduce costs.
The user of the Technology Matrix must understand that redundancy and reliability of non-traditional options will be based upon technology specific considerations and therefore must be reviewed with the regulatory agencies to fully understand the technology requirements and associated project and operation and maintenance costs.
The user of the Technology Matrix must understand that although cost and performance are important, the factors of “permittability” and “implementability” are important and are very site specific.
Although the Technology Matrix has a contingency incorporated into the Project Costs, the user of the Technology Matrix should consider adjusting the contingency when developing options, incorporating site specific information, and identifying the risks for the options.
The Technology Matrix presents information on specific technologies and approaches which may or may not be useable as a single solution and therefore may or may not be able to be compared directly to one another.  For example, the user must assemble various cost elements (collection, treatment and disposal, for example) to be able to make a fair comparison between approaches that require collection and off-site disposal versus those that involve on-site treatment and disposal.  The Technology Matrix presents a summary of infrastructure to consider when designing and pricing various Technologies/Strategies.
The Technology Matrix does not express cost savings realized through economies of scale for traditional technologies such as centralize treatment. Nor does it expressly identify opportunities for solutions that address the needs of several watersheds simultaneously. </t>
    </r>
  </si>
  <si>
    <t>Constructed Wetlands for Treatment of WWTF Effluent</t>
  </si>
  <si>
    <t>24.  The Barnstable County Cost Report (BCCR) developed an amortized cost for individual on-lot systems, cluster systems, satellite systems and centralized systems based on a 20 year planning period and 5 percent interest rate.  The value represents the present value of the capital costs spread of over the 20 year planning period divided by 1 year of N removed  plus the estimated operation and maintenance cost dived by 1 year of N removed.  No costs are included for future replacement/upgrades.</t>
  </si>
  <si>
    <t>Metric Input</t>
  </si>
  <si>
    <t>Nutrient Reducing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</si>
</sst>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0.0"/>
    <numFmt numFmtId="165" formatCode="[$-409]General"/>
    <numFmt numFmtId="166" formatCode="_(* #,##0_);_(* \(#,##0\);_(* &quot;-&quot;??_);_(@_)"/>
    <numFmt numFmtId="167" formatCode="_(&quot;$&quot;* #,##0_);_(&quot;$&quot;* \(#,##0\);_(&quot;$&quot;* &quot;-&quot;??_);_(@_)"/>
    <numFmt numFmtId="168" formatCode="0.0%"/>
    <numFmt numFmtId="169" formatCode="[$$-409]#,##0.00;[Red]&quot;-&quot;[$$-409]#,##0.00"/>
    <numFmt numFmtId="170" formatCode="_(* #,##0.000_);_(* \(#,##0.000\);_(* &quot;-&quot;??_);_(@_)"/>
    <numFmt numFmtId="171" formatCode="&quot;$&quot;#,##0"/>
    <numFmt numFmtId="172" formatCode="_(* #,##0.0_);_(* \(#,##0.0\);_(* &quot;-&quot;??_);_(@_)"/>
    <numFmt numFmtId="173" formatCode="_(&quot;$&quot;* #,##0.0_);_(&quot;$&quot;* \(#,##0.0\);_(&quot;$&quot;* &quot;-&quot;??_);_(@_)"/>
    <numFmt numFmtId="174" formatCode="[$-409]mmmm\-yy;@"/>
    <numFmt numFmtId="175" formatCode="#,##0.0"/>
  </numFmts>
  <fonts count="31" x14ac:knownFonts="1">
    <font>
      <sz val="12"/>
      <name val="Verdana"/>
    </font>
    <font>
      <sz val="12"/>
      <name val="Verdana"/>
      <family val="2"/>
    </font>
    <font>
      <sz val="11"/>
      <color rgb="FF000000"/>
      <name val="Calibri"/>
      <family val="2"/>
    </font>
    <font>
      <b/>
      <sz val="10"/>
      <name val="Times New Roman"/>
      <family val="1"/>
    </font>
    <font>
      <sz val="10"/>
      <name val="Times New Roman"/>
      <family val="1"/>
    </font>
    <font>
      <sz val="12"/>
      <name val="Verdana"/>
      <family val="2"/>
    </font>
    <font>
      <sz val="12"/>
      <name val="Verdana"/>
      <family val="2"/>
    </font>
    <font>
      <sz val="10"/>
      <color rgb="FF000000"/>
      <name val="Times New Roman"/>
      <family val="1"/>
    </font>
    <font>
      <sz val="11"/>
      <color theme="1"/>
      <name val="Arial"/>
      <family val="2"/>
    </font>
    <font>
      <b/>
      <i/>
      <sz val="16"/>
      <color theme="1"/>
      <name val="Arial"/>
      <family val="2"/>
    </font>
    <font>
      <b/>
      <i/>
      <u/>
      <sz val="11"/>
      <color theme="1"/>
      <name val="Arial"/>
      <family val="2"/>
    </font>
    <font>
      <strike/>
      <sz val="10"/>
      <name val="Times New Roman"/>
      <family val="1"/>
    </font>
    <font>
      <i/>
      <sz val="10"/>
      <name val="Times New Roman"/>
      <family val="1"/>
    </font>
    <font>
      <vertAlign val="subscript"/>
      <sz val="10"/>
      <name val="Times New Roman"/>
      <family val="1"/>
    </font>
    <font>
      <sz val="10"/>
      <color theme="0"/>
      <name val="Times New Roman"/>
      <family val="1"/>
    </font>
    <font>
      <b/>
      <sz val="10"/>
      <color rgb="FF000000"/>
      <name val="Times New Roman"/>
      <family val="1"/>
    </font>
    <font>
      <u/>
      <sz val="12"/>
      <color theme="10"/>
      <name val="Verdana"/>
      <family val="2"/>
    </font>
    <font>
      <vertAlign val="superscript"/>
      <sz val="10"/>
      <color rgb="FF000000"/>
      <name val="Times New Roman"/>
      <family val="1"/>
    </font>
    <font>
      <vertAlign val="superscript"/>
      <sz val="10"/>
      <name val="Times New Roman"/>
      <family val="1"/>
    </font>
    <font>
      <sz val="11"/>
      <name val="Calibri"/>
      <family val="2"/>
    </font>
    <font>
      <sz val="11"/>
      <color rgb="FFFF0000"/>
      <name val="Calibri"/>
      <family val="2"/>
    </font>
    <font>
      <b/>
      <u/>
      <sz val="10"/>
      <name val="Times New Roman"/>
      <family val="1"/>
    </font>
    <font>
      <b/>
      <sz val="8"/>
      <name val="Times New Roman"/>
      <family val="1"/>
    </font>
    <font>
      <u/>
      <sz val="10"/>
      <name val="Times New Roman"/>
      <family val="1"/>
    </font>
    <font>
      <sz val="9"/>
      <name val="Arial"/>
      <family val="2"/>
    </font>
    <font>
      <sz val="9"/>
      <name val="Verdana"/>
      <family val="2"/>
    </font>
    <font>
      <b/>
      <sz val="9"/>
      <color theme="0"/>
      <name val="Arial"/>
      <family val="2"/>
    </font>
    <font>
      <b/>
      <sz val="9"/>
      <name val="Arial"/>
      <family val="2"/>
    </font>
    <font>
      <sz val="9"/>
      <color theme="0"/>
      <name val="Arial"/>
      <family val="2"/>
    </font>
    <font>
      <b/>
      <sz val="9"/>
      <color theme="0" tint="-0.249977111117893"/>
      <name val="Arial"/>
      <family val="2"/>
    </font>
    <font>
      <sz val="10"/>
      <color theme="1"/>
      <name val="Times New Roman"/>
      <family val="1"/>
    </font>
  </fonts>
  <fills count="32">
    <fill>
      <patternFill patternType="none"/>
    </fill>
    <fill>
      <patternFill patternType="gray125"/>
    </fill>
    <fill>
      <patternFill patternType="solid">
        <fgColor rgb="FF9BBB59"/>
        <bgColor rgb="FF9BBB59"/>
      </patternFill>
    </fill>
    <fill>
      <patternFill patternType="solid">
        <fgColor rgb="FF00B050"/>
        <bgColor rgb="FF00B050"/>
      </patternFill>
    </fill>
    <fill>
      <patternFill patternType="solid">
        <fgColor rgb="FF8EB4E3"/>
        <bgColor rgb="FF8EB4E3"/>
      </patternFill>
    </fill>
    <fill>
      <patternFill patternType="solid">
        <fgColor rgb="FFDBEEF4"/>
        <bgColor rgb="FFDBEEF4"/>
      </patternFill>
    </fill>
    <fill>
      <patternFill patternType="solid">
        <fgColor rgb="FFFAC090"/>
        <bgColor rgb="FFFAC090"/>
      </patternFill>
    </fill>
    <fill>
      <patternFill patternType="solid">
        <fgColor rgb="FFEEECE1"/>
        <bgColor rgb="FFEEECE1"/>
      </patternFill>
    </fill>
    <fill>
      <patternFill patternType="solid">
        <fgColor theme="5" tint="0.39997558519241921"/>
        <bgColor rgb="FFEEECE1"/>
      </patternFill>
    </fill>
    <fill>
      <patternFill patternType="solid">
        <fgColor rgb="FFFFFF00"/>
        <bgColor indexed="64"/>
      </patternFill>
    </fill>
    <fill>
      <patternFill patternType="solid">
        <fgColor rgb="FFFFFF00"/>
        <bgColor rgb="FFFFFF00"/>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rgb="FFFFFF00"/>
      </patternFill>
    </fill>
    <fill>
      <patternFill patternType="solid">
        <fgColor theme="9" tint="0.59999389629810485"/>
        <bgColor rgb="FFFFFF00"/>
      </patternFill>
    </fill>
    <fill>
      <patternFill patternType="solid">
        <fgColor theme="3" tint="0.79998168889431442"/>
        <bgColor rgb="FFFFFF00"/>
      </patternFill>
    </fill>
    <fill>
      <patternFill patternType="solid">
        <fgColor theme="0" tint="-0.14999847407452621"/>
        <bgColor rgb="FFFFFF00"/>
      </patternFill>
    </fill>
    <fill>
      <patternFill patternType="solid">
        <fgColor theme="3" tint="0.79998168889431442"/>
        <bgColor rgb="FF93CDDD"/>
      </patternFill>
    </fill>
    <fill>
      <patternFill patternType="solid">
        <fgColor theme="7" tint="0.59999389629810485"/>
        <bgColor rgb="FFFFFF00"/>
      </patternFill>
    </fill>
    <fill>
      <patternFill patternType="solid">
        <fgColor theme="2" tint="-0.249977111117893"/>
        <bgColor rgb="FFFFFF00"/>
      </patternFill>
    </fill>
    <fill>
      <patternFill patternType="solid">
        <fgColor theme="5" tint="0.39997558519241921"/>
        <bgColor indexed="64"/>
      </patternFill>
    </fill>
    <fill>
      <patternFill patternType="solid">
        <fgColor theme="8" tint="0.79998168889431442"/>
        <bgColor rgb="FFFFFF00"/>
      </patternFill>
    </fill>
    <fill>
      <patternFill patternType="solid">
        <fgColor theme="9" tint="0.79998168889431442"/>
        <bgColor rgb="FFFFFF00"/>
      </patternFill>
    </fill>
    <fill>
      <patternFill patternType="solid">
        <fgColor theme="0" tint="-4.9989318521683403E-2"/>
        <bgColor rgb="FFFFFF00"/>
      </patternFill>
    </fill>
    <fill>
      <patternFill patternType="solid">
        <fgColor rgb="FFCCFFFF"/>
        <bgColor indexed="64"/>
      </patternFill>
    </fill>
    <fill>
      <patternFill patternType="solid">
        <fgColor rgb="FF92D050"/>
        <bgColor rgb="FFFFFF00"/>
      </patternFill>
    </fill>
    <fill>
      <patternFill patternType="solid">
        <fgColor theme="0" tint="-0.249977111117893"/>
        <bgColor rgb="FFEEECE1"/>
      </patternFill>
    </fill>
    <fill>
      <patternFill patternType="solid">
        <fgColor theme="0" tint="-0.249977111117893"/>
        <bgColor indexed="64"/>
      </patternFill>
    </fill>
    <fill>
      <patternFill patternType="solid">
        <fgColor rgb="FF00E266"/>
        <bgColor rgb="FF00B050"/>
      </patternFill>
    </fill>
    <fill>
      <patternFill patternType="solid">
        <fgColor theme="0"/>
        <bgColor indexed="64"/>
      </patternFill>
    </fill>
    <fill>
      <patternFill patternType="solid">
        <fgColor rgb="FF00B0F0"/>
        <bgColor rgb="FFFFFF00"/>
      </patternFill>
    </fill>
  </fills>
  <borders count="67">
    <border>
      <left/>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top/>
      <bottom style="thin">
        <color indexed="64"/>
      </bottom>
      <diagonal/>
    </border>
    <border>
      <left/>
      <right style="thin">
        <color indexed="64"/>
      </right>
      <top/>
      <bottom/>
      <diagonal/>
    </border>
    <border>
      <left/>
      <right/>
      <top/>
      <bottom style="thin">
        <color rgb="FF000000"/>
      </bottom>
      <diagonal/>
    </border>
    <border>
      <left style="double">
        <color rgb="FF000000"/>
      </left>
      <right style="thin">
        <color rgb="FF000000"/>
      </right>
      <top style="double">
        <color rgb="FF000000"/>
      </top>
      <bottom/>
      <diagonal/>
    </border>
    <border>
      <left style="double">
        <color rgb="FF000000"/>
      </left>
      <right style="thin">
        <color rgb="FF000000"/>
      </right>
      <top/>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double">
        <color rgb="FF000000"/>
      </top>
      <bottom style="thin">
        <color indexed="64"/>
      </bottom>
      <diagonal/>
    </border>
    <border>
      <left/>
      <right/>
      <top style="double">
        <color rgb="FF000000"/>
      </top>
      <bottom style="thin">
        <color indexed="64"/>
      </bottom>
      <diagonal/>
    </border>
    <border>
      <left/>
      <right style="thin">
        <color rgb="FF000000"/>
      </right>
      <top style="double">
        <color rgb="FF000000"/>
      </top>
      <bottom style="thin">
        <color indexed="64"/>
      </bottom>
      <diagonal/>
    </border>
    <border>
      <left/>
      <right style="thin">
        <color rgb="FF000000"/>
      </right>
      <top style="double">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top style="double">
        <color rgb="FF000000"/>
      </top>
      <bottom/>
      <diagonal/>
    </border>
    <border>
      <left/>
      <right style="thin">
        <color rgb="FF000000"/>
      </right>
      <top style="double">
        <color rgb="FF000000"/>
      </top>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style="thin">
        <color rgb="FF000000"/>
      </top>
      <bottom/>
      <diagonal/>
    </border>
    <border>
      <left/>
      <right/>
      <top style="double">
        <color rgb="FF000000"/>
      </top>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thin">
        <color rgb="FF000000"/>
      </right>
      <top/>
      <bottom style="thin">
        <color indexed="64"/>
      </bottom>
      <diagonal/>
    </border>
    <border>
      <left style="double">
        <color rgb="FF000000"/>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bottom style="thin">
        <color rgb="FF000000"/>
      </bottom>
      <diagonal/>
    </border>
    <border>
      <left style="thin">
        <color rgb="FF000000"/>
      </left>
      <right style="thin">
        <color rgb="FF000000"/>
      </right>
      <top style="thin">
        <color indexed="64"/>
      </top>
      <bottom style="double">
        <color indexed="64"/>
      </bottom>
      <diagonal/>
    </border>
    <border>
      <left style="thin">
        <color rgb="FF000000"/>
      </left>
      <right style="thin">
        <color rgb="FF000000"/>
      </right>
      <top/>
      <bottom style="double">
        <color rgb="FF000000"/>
      </bottom>
      <diagonal/>
    </border>
    <border>
      <left style="thin">
        <color rgb="FF000000"/>
      </left>
      <right style="thin">
        <color rgb="FF000000"/>
      </right>
      <top style="thin">
        <color indexed="64"/>
      </top>
      <bottom style="double">
        <color rgb="FF000000"/>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s>
  <cellStyleXfs count="16">
    <xf numFmtId="0" fontId="0" fillId="0" borderId="0"/>
    <xf numFmtId="43" fontId="1" fillId="0" borderId="0" applyFont="0" applyFill="0" applyBorder="0" applyAlignment="0" applyProtection="0"/>
    <xf numFmtId="165" fontId="2" fillId="0" borderId="0"/>
    <xf numFmtId="0" fontId="1" fillId="0" borderId="0"/>
    <xf numFmtId="44" fontId="5" fillId="0" borderId="0" applyFont="0" applyFill="0" applyBorder="0" applyAlignment="0" applyProtection="0"/>
    <xf numFmtId="9" fontId="6" fillId="0" borderId="0" applyFont="0" applyFill="0" applyBorder="0" applyAlignment="0" applyProtection="0"/>
    <xf numFmtId="0" fontId="8" fillId="0" borderId="0"/>
    <xf numFmtId="0" fontId="9" fillId="0" borderId="0">
      <alignment horizontal="center"/>
    </xf>
    <xf numFmtId="0" fontId="9" fillId="0" borderId="0">
      <alignment horizontal="center" textRotation="90"/>
    </xf>
    <xf numFmtId="0" fontId="10" fillId="0" borderId="0"/>
    <xf numFmtId="169" fontId="1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16" fillId="0" borderId="0" applyNumberFormat="0" applyFill="0" applyBorder="0" applyAlignment="0" applyProtection="0"/>
  </cellStyleXfs>
  <cellXfs count="615">
    <xf numFmtId="0" fontId="0" fillId="0" borderId="0" xfId="0"/>
    <xf numFmtId="0" fontId="4" fillId="0" borderId="0" xfId="0" applyFont="1" applyProtection="1"/>
    <xf numFmtId="0" fontId="4" fillId="0" borderId="0" xfId="0" applyFont="1" applyAlignment="1" applyProtection="1">
      <alignment horizontal="center"/>
    </xf>
    <xf numFmtId="43" fontId="4" fillId="0" borderId="2" xfId="1" applyFont="1" applyBorder="1" applyAlignment="1" applyProtection="1">
      <alignment horizontal="center" vertical="top" wrapText="1"/>
    </xf>
    <xf numFmtId="166" fontId="4" fillId="0" borderId="2" xfId="1" applyNumberFormat="1" applyFont="1" applyBorder="1" applyAlignment="1" applyProtection="1">
      <alignment horizontal="center" vertical="top" wrapText="1"/>
    </xf>
    <xf numFmtId="44" fontId="4" fillId="0" borderId="18" xfId="4" applyNumberFormat="1" applyFont="1" applyBorder="1" applyAlignment="1" applyProtection="1">
      <alignment horizontal="center" vertical="top" wrapText="1"/>
    </xf>
    <xf numFmtId="44" fontId="4" fillId="0" borderId="2" xfId="4" applyNumberFormat="1" applyFont="1" applyBorder="1" applyAlignment="1" applyProtection="1">
      <alignment horizontal="center" vertical="top" wrapText="1"/>
    </xf>
    <xf numFmtId="165" fontId="4" fillId="0" borderId="0" xfId="2" applyFont="1" applyBorder="1" applyAlignment="1" applyProtection="1">
      <alignment horizontal="center"/>
    </xf>
    <xf numFmtId="165" fontId="4" fillId="0" borderId="0" xfId="2" applyFont="1" applyAlignment="1" applyProtection="1">
      <alignment horizontal="center"/>
    </xf>
    <xf numFmtId="10" fontId="4" fillId="0" borderId="0" xfId="13" applyNumberFormat="1" applyFont="1" applyFill="1" applyBorder="1" applyAlignment="1" applyProtection="1">
      <alignment horizontal="center" wrapText="1"/>
    </xf>
    <xf numFmtId="165" fontId="3" fillId="2" borderId="2" xfId="2" applyFont="1" applyFill="1" applyBorder="1" applyAlignment="1" applyProtection="1">
      <alignment horizontal="left" vertical="center" wrapText="1"/>
    </xf>
    <xf numFmtId="166" fontId="4" fillId="0" borderId="2" xfId="11" applyNumberFormat="1" applyFont="1" applyBorder="1" applyAlignment="1" applyProtection="1">
      <alignment horizontal="center" vertical="top" wrapText="1"/>
    </xf>
    <xf numFmtId="165" fontId="3" fillId="3" borderId="2" xfId="2" applyFont="1" applyFill="1" applyBorder="1" applyAlignment="1" applyProtection="1">
      <alignment horizontal="left" vertical="center" wrapText="1"/>
    </xf>
    <xf numFmtId="165" fontId="3" fillId="4" borderId="2" xfId="2" applyFont="1" applyFill="1" applyBorder="1" applyAlignment="1" applyProtection="1">
      <alignment horizontal="left" vertical="center" wrapText="1"/>
    </xf>
    <xf numFmtId="165" fontId="3" fillId="5" borderId="2" xfId="2" applyFont="1" applyFill="1" applyBorder="1" applyAlignment="1" applyProtection="1">
      <alignment horizontal="left" vertical="center" wrapText="1"/>
    </xf>
    <xf numFmtId="165" fontId="3" fillId="6" borderId="2" xfId="2" applyFont="1" applyFill="1" applyBorder="1" applyAlignment="1" applyProtection="1">
      <alignment horizontal="left" vertical="center" wrapText="1"/>
    </xf>
    <xf numFmtId="165" fontId="4" fillId="0" borderId="0" xfId="2" applyFont="1" applyBorder="1" applyAlignment="1" applyProtection="1">
      <alignment horizontal="center" vertical="top"/>
    </xf>
    <xf numFmtId="165" fontId="4" fillId="0" borderId="0" xfId="2" applyFont="1" applyAlignment="1" applyProtection="1">
      <alignment horizontal="left" vertical="top"/>
    </xf>
    <xf numFmtId="165" fontId="4" fillId="0" borderId="0" xfId="2" applyFont="1" applyFill="1" applyBorder="1" applyAlignment="1" applyProtection="1">
      <alignment horizontal="center" vertical="top"/>
    </xf>
    <xf numFmtId="165" fontId="4" fillId="0" borderId="0" xfId="2" applyFont="1" applyAlignment="1" applyProtection="1">
      <alignment horizontal="center" vertical="top"/>
    </xf>
    <xf numFmtId="166" fontId="4" fillId="0" borderId="18" xfId="11" applyNumberFormat="1" applyFont="1" applyBorder="1" applyAlignment="1" applyProtection="1">
      <alignment horizontal="center" vertical="top" wrapText="1"/>
    </xf>
    <xf numFmtId="165" fontId="4" fillId="0" borderId="0" xfId="2" applyFont="1" applyFill="1" applyBorder="1" applyAlignment="1" applyProtection="1">
      <alignment horizontal="center" wrapText="1"/>
    </xf>
    <xf numFmtId="43" fontId="4" fillId="0" borderId="0" xfId="11" applyNumberFormat="1" applyFont="1" applyBorder="1" applyAlignment="1" applyProtection="1">
      <alignment horizontal="center" vertical="top" wrapText="1"/>
    </xf>
    <xf numFmtId="167" fontId="4" fillId="0" borderId="0" xfId="4" applyNumberFormat="1" applyFont="1" applyFill="1" applyProtection="1"/>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horizontal="left"/>
    </xf>
    <xf numFmtId="165" fontId="4" fillId="0" borderId="0" xfId="2" applyFont="1" applyFill="1" applyBorder="1" applyAlignment="1" applyProtection="1">
      <alignment horizontal="center" vertical="center" wrapText="1"/>
    </xf>
    <xf numFmtId="165" fontId="4" fillId="0" borderId="0" xfId="2" applyFont="1" applyBorder="1" applyAlignment="1" applyProtection="1">
      <alignment horizontal="left" vertical="top"/>
    </xf>
    <xf numFmtId="0" fontId="4" fillId="0" borderId="0" xfId="6" applyFont="1" applyFill="1" applyBorder="1" applyAlignment="1" applyProtection="1">
      <alignment horizontal="left" vertical="top" wrapText="1"/>
    </xf>
    <xf numFmtId="0" fontId="4" fillId="0" borderId="0" xfId="0" applyFont="1" applyBorder="1" applyProtection="1"/>
    <xf numFmtId="10" fontId="4" fillId="0" borderId="0" xfId="5" applyNumberFormat="1" applyFont="1" applyFill="1" applyBorder="1" applyAlignment="1" applyProtection="1">
      <alignment horizontal="right"/>
    </xf>
    <xf numFmtId="0" fontId="14" fillId="0" borderId="0" xfId="0" applyFont="1" applyProtection="1"/>
    <xf numFmtId="165" fontId="7" fillId="0" borderId="0" xfId="2" applyFont="1" applyAlignment="1" applyProtection="1">
      <alignment horizontal="left" vertical="top"/>
    </xf>
    <xf numFmtId="171" fontId="4" fillId="0" borderId="0" xfId="2" applyNumberFormat="1" applyFont="1" applyAlignment="1" applyProtection="1">
      <alignment horizontal="center"/>
    </xf>
    <xf numFmtId="171" fontId="4" fillId="0" borderId="0" xfId="2" applyNumberFormat="1" applyFont="1" applyBorder="1" applyAlignment="1" applyProtection="1">
      <alignment horizontal="right"/>
    </xf>
    <xf numFmtId="171" fontId="4" fillId="0" borderId="0" xfId="2" applyNumberFormat="1" applyFont="1" applyFill="1" applyBorder="1" applyAlignment="1" applyProtection="1">
      <alignment horizontal="center"/>
    </xf>
    <xf numFmtId="171" fontId="4" fillId="0" borderId="0" xfId="2" applyNumberFormat="1" applyFont="1" applyFill="1" applyBorder="1" applyAlignment="1" applyProtection="1">
      <alignment horizontal="right"/>
    </xf>
    <xf numFmtId="171" fontId="4" fillId="0" borderId="0" xfId="2" quotePrefix="1" applyNumberFormat="1" applyFont="1" applyBorder="1" applyAlignment="1" applyProtection="1">
      <alignment horizontal="left"/>
    </xf>
    <xf numFmtId="171" fontId="4" fillId="0" borderId="0" xfId="2" applyNumberFormat="1" applyFont="1" applyBorder="1" applyAlignment="1" applyProtection="1">
      <alignment horizontal="left"/>
    </xf>
    <xf numFmtId="171" fontId="4" fillId="0" borderId="0" xfId="11" applyNumberFormat="1" applyFont="1" applyBorder="1" applyAlignment="1" applyProtection="1"/>
    <xf numFmtId="171" fontId="4" fillId="0" borderId="2" xfId="12" applyNumberFormat="1" applyFont="1" applyBorder="1" applyAlignment="1" applyProtection="1">
      <alignment horizontal="center" vertical="top" wrapText="1"/>
    </xf>
    <xf numFmtId="171" fontId="4" fillId="0" borderId="2" xfId="12" applyNumberFormat="1" applyFont="1" applyBorder="1" applyAlignment="1" applyProtection="1">
      <alignment horizontal="center" vertical="top"/>
    </xf>
    <xf numFmtId="171" fontId="4" fillId="0" borderId="18" xfId="12" applyNumberFormat="1" applyFont="1" applyBorder="1" applyAlignment="1" applyProtection="1">
      <alignment horizontal="center" vertical="top"/>
    </xf>
    <xf numFmtId="171" fontId="4" fillId="0" borderId="0" xfId="2" applyNumberFormat="1" applyFont="1" applyBorder="1" applyAlignment="1" applyProtection="1">
      <alignment horizontal="center"/>
    </xf>
    <xf numFmtId="9" fontId="4" fillId="0" borderId="0" xfId="2" applyNumberFormat="1" applyFont="1" applyAlignment="1" applyProtection="1">
      <alignment horizontal="center"/>
    </xf>
    <xf numFmtId="9" fontId="4" fillId="0" borderId="0" xfId="13" applyNumberFormat="1" applyFont="1" applyFill="1" applyBorder="1" applyAlignment="1" applyProtection="1">
      <alignment horizontal="center" wrapText="1"/>
    </xf>
    <xf numFmtId="9" fontId="4" fillId="0" borderId="0" xfId="2" applyNumberFormat="1" applyFont="1" applyBorder="1" applyAlignment="1" applyProtection="1">
      <alignment horizontal="center"/>
    </xf>
    <xf numFmtId="171" fontId="3" fillId="0" borderId="0" xfId="2" applyNumberFormat="1" applyFont="1" applyFill="1" applyBorder="1" applyAlignment="1" applyProtection="1">
      <alignment wrapText="1"/>
    </xf>
    <xf numFmtId="1" fontId="4" fillId="0" borderId="0" xfId="2" applyNumberFormat="1" applyFont="1" applyAlignment="1" applyProtection="1">
      <alignment horizontal="center"/>
    </xf>
    <xf numFmtId="1" fontId="4" fillId="0" borderId="0" xfId="2" applyNumberFormat="1" applyFont="1" applyBorder="1" applyAlignment="1" applyProtection="1">
      <alignment wrapText="1"/>
    </xf>
    <xf numFmtId="9" fontId="4" fillId="0" borderId="2" xfId="13" applyNumberFormat="1" applyFont="1" applyBorder="1" applyAlignment="1" applyProtection="1">
      <alignment horizontal="center" vertical="top" wrapText="1"/>
    </xf>
    <xf numFmtId="9" fontId="4" fillId="0" borderId="18" xfId="13" applyNumberFormat="1" applyFont="1" applyBorder="1" applyAlignment="1" applyProtection="1">
      <alignment horizontal="center" vertical="top" wrapText="1"/>
    </xf>
    <xf numFmtId="1" fontId="4" fillId="0" borderId="0" xfId="2" applyNumberFormat="1" applyFont="1" applyBorder="1" applyAlignment="1" applyProtection="1">
      <alignment horizontal="left"/>
    </xf>
    <xf numFmtId="1" fontId="4" fillId="0" borderId="0" xfId="2" applyNumberFormat="1" applyFont="1" applyBorder="1" applyAlignment="1" applyProtection="1">
      <alignment horizontal="center"/>
    </xf>
    <xf numFmtId="166" fontId="4" fillId="0" borderId="0" xfId="1" applyNumberFormat="1" applyFont="1" applyAlignment="1" applyProtection="1">
      <alignment horizontal="center"/>
    </xf>
    <xf numFmtId="166" fontId="4" fillId="0" borderId="0" xfId="1" applyNumberFormat="1" applyFont="1" applyFill="1" applyBorder="1" applyAlignment="1" applyProtection="1">
      <alignment horizontal="center"/>
    </xf>
    <xf numFmtId="166" fontId="4" fillId="0" borderId="18" xfId="1" applyNumberFormat="1" applyFont="1" applyBorder="1" applyAlignment="1" applyProtection="1">
      <alignment horizontal="center" vertical="top" wrapText="1"/>
    </xf>
    <xf numFmtId="9" fontId="4" fillId="0" borderId="0" xfId="5" applyFont="1" applyBorder="1" applyAlignment="1" applyProtection="1">
      <alignment horizontal="center"/>
    </xf>
    <xf numFmtId="9" fontId="4" fillId="0" borderId="0" xfId="5" applyFont="1" applyFill="1" applyBorder="1" applyAlignment="1" applyProtection="1">
      <alignment horizontal="center"/>
    </xf>
    <xf numFmtId="171" fontId="4" fillId="0" borderId="0" xfId="2" applyNumberFormat="1" applyFont="1" applyAlignment="1" applyProtection="1">
      <alignment horizontal="left"/>
    </xf>
    <xf numFmtId="167" fontId="4" fillId="0" borderId="0" xfId="4" applyNumberFormat="1" applyFont="1" applyAlignment="1" applyProtection="1">
      <alignment horizontal="center"/>
    </xf>
    <xf numFmtId="167" fontId="4" fillId="0" borderId="0" xfId="4" applyNumberFormat="1" applyFont="1" applyBorder="1" applyAlignment="1" applyProtection="1">
      <alignment horizontal="center"/>
    </xf>
    <xf numFmtId="0" fontId="4" fillId="0" borderId="2" xfId="14" applyFont="1" applyFill="1" applyBorder="1" applyAlignment="1" applyProtection="1">
      <alignment horizontal="center" vertical="top" wrapText="1"/>
    </xf>
    <xf numFmtId="0" fontId="4" fillId="0" borderId="2" xfId="6" applyFont="1" applyBorder="1" applyAlignment="1" applyProtection="1">
      <alignment vertical="center" wrapText="1"/>
    </xf>
    <xf numFmtId="0" fontId="4" fillId="0" borderId="2" xfId="6" applyFont="1" applyFill="1" applyBorder="1" applyAlignment="1" applyProtection="1">
      <alignment horizontal="left" vertical="top" wrapText="1"/>
    </xf>
    <xf numFmtId="0" fontId="3" fillId="12" borderId="2" xfId="6" applyFont="1" applyFill="1" applyBorder="1" applyAlignment="1" applyProtection="1">
      <alignment horizontal="left" vertical="center" wrapText="1"/>
    </xf>
    <xf numFmtId="0" fontId="3" fillId="12" borderId="2" xfId="6" applyFont="1" applyFill="1" applyBorder="1" applyAlignment="1" applyProtection="1">
      <alignment vertical="center" wrapText="1"/>
    </xf>
    <xf numFmtId="0" fontId="3" fillId="11" borderId="2" xfId="6" applyFont="1" applyFill="1" applyBorder="1" applyAlignment="1" applyProtection="1">
      <alignment vertical="center" wrapText="1"/>
    </xf>
    <xf numFmtId="166" fontId="4" fillId="0" borderId="2" xfId="11" applyNumberFormat="1" applyFont="1" applyBorder="1" applyAlignment="1" applyProtection="1">
      <alignment horizontal="left" vertical="top" wrapText="1"/>
    </xf>
    <xf numFmtId="0" fontId="4" fillId="0" borderId="2" xfId="11" applyNumberFormat="1" applyFont="1" applyBorder="1" applyAlignment="1" applyProtection="1">
      <alignment horizontal="left" vertical="top" wrapText="1"/>
    </xf>
    <xf numFmtId="165" fontId="3" fillId="8" borderId="18" xfId="2" applyFont="1" applyFill="1" applyBorder="1" applyAlignment="1" applyProtection="1">
      <alignment horizontal="left" vertical="center" wrapText="1"/>
    </xf>
    <xf numFmtId="0" fontId="4" fillId="0" borderId="18" xfId="6" applyFont="1" applyFill="1" applyBorder="1" applyAlignment="1" applyProtection="1">
      <alignment horizontal="left" vertical="top" wrapText="1"/>
    </xf>
    <xf numFmtId="171" fontId="4" fillId="0" borderId="18" xfId="12" applyNumberFormat="1" applyFont="1" applyBorder="1" applyAlignment="1" applyProtection="1">
      <alignment horizontal="left" vertical="top" wrapText="1"/>
    </xf>
    <xf numFmtId="171" fontId="4" fillId="0" borderId="0" xfId="6" quotePrefix="1" applyNumberFormat="1" applyFont="1" applyBorder="1" applyAlignment="1" applyProtection="1">
      <alignment horizontal="left" vertical="center"/>
    </xf>
    <xf numFmtId="0" fontId="4" fillId="0" borderId="2" xfId="6" applyFont="1" applyBorder="1" applyAlignment="1" applyProtection="1">
      <alignment vertical="top" wrapText="1"/>
    </xf>
    <xf numFmtId="167" fontId="4" fillId="0" borderId="2" xfId="4" applyNumberFormat="1" applyFont="1" applyBorder="1" applyAlignment="1" applyProtection="1">
      <alignment horizontal="center" vertical="top" wrapText="1"/>
    </xf>
    <xf numFmtId="167" fontId="4" fillId="0" borderId="18" xfId="4" applyNumberFormat="1" applyFont="1" applyBorder="1" applyAlignment="1" applyProtection="1">
      <alignment horizontal="center" vertical="top" wrapText="1"/>
    </xf>
    <xf numFmtId="167" fontId="4" fillId="0" borderId="2" xfId="4" applyNumberFormat="1" applyFont="1" applyBorder="1" applyAlignment="1" applyProtection="1">
      <alignment horizontal="center" vertical="top"/>
    </xf>
    <xf numFmtId="167" fontId="4" fillId="0" borderId="18" xfId="4" applyNumberFormat="1" applyFont="1" applyBorder="1" applyAlignment="1" applyProtection="1">
      <alignment horizontal="center" vertical="top"/>
    </xf>
    <xf numFmtId="165" fontId="4" fillId="0" borderId="0" xfId="2" applyFont="1" applyAlignment="1" applyProtection="1">
      <alignment horizontal="left" vertical="center" wrapText="1"/>
    </xf>
    <xf numFmtId="165" fontId="3" fillId="8" borderId="2" xfId="2" quotePrefix="1" applyFont="1" applyFill="1" applyBorder="1" applyAlignment="1" applyProtection="1">
      <alignment horizontal="left" vertical="center" wrapText="1"/>
    </xf>
    <xf numFmtId="0" fontId="4" fillId="0" borderId="2" xfId="14" applyFont="1" applyFill="1" applyBorder="1" applyAlignment="1" applyProtection="1">
      <alignment horizontal="left" vertical="top" wrapText="1"/>
    </xf>
    <xf numFmtId="165" fontId="4" fillId="0" borderId="2" xfId="2" quotePrefix="1" applyFont="1" applyBorder="1" applyAlignment="1" applyProtection="1">
      <alignment horizontal="center" vertical="top" wrapText="1"/>
    </xf>
    <xf numFmtId="165" fontId="3" fillId="0" borderId="2" xfId="2" applyFont="1" applyFill="1" applyBorder="1" applyAlignment="1" applyProtection="1">
      <alignment horizontal="left" vertical="center" wrapText="1"/>
    </xf>
    <xf numFmtId="165" fontId="3" fillId="0" borderId="3" xfId="2" applyFont="1" applyFill="1" applyBorder="1" applyAlignment="1" applyProtection="1">
      <alignment horizontal="left" vertical="center" wrapText="1"/>
    </xf>
    <xf numFmtId="165" fontId="3" fillId="0" borderId="2" xfId="2" quotePrefix="1" applyFont="1" applyFill="1" applyBorder="1" applyAlignment="1" applyProtection="1">
      <alignment horizontal="left" vertical="center" wrapText="1"/>
    </xf>
    <xf numFmtId="165" fontId="3" fillId="0" borderId="18" xfId="2" applyFont="1" applyFill="1" applyBorder="1" applyAlignment="1" applyProtection="1">
      <alignment horizontal="left" vertical="center" wrapText="1"/>
    </xf>
    <xf numFmtId="173" fontId="4" fillId="0" borderId="2" xfId="4" applyNumberFormat="1" applyFont="1" applyBorder="1" applyAlignment="1" applyProtection="1">
      <alignment horizontal="center" vertical="top"/>
    </xf>
    <xf numFmtId="173" fontId="4" fillId="0" borderId="2" xfId="4" applyNumberFormat="1" applyFont="1" applyBorder="1" applyAlignment="1" applyProtection="1">
      <alignment horizontal="center" vertical="top" wrapText="1"/>
    </xf>
    <xf numFmtId="9" fontId="3" fillId="10" borderId="2" xfId="2" applyNumberFormat="1" applyFont="1" applyFill="1" applyBorder="1" applyAlignment="1" applyProtection="1">
      <alignment horizontal="center" wrapText="1"/>
    </xf>
    <xf numFmtId="171" fontId="3" fillId="16" borderId="2" xfId="2" applyNumberFormat="1" applyFont="1" applyFill="1" applyBorder="1" applyAlignment="1" applyProtection="1">
      <alignment horizontal="center" wrapText="1"/>
    </xf>
    <xf numFmtId="171" fontId="3" fillId="19" borderId="2" xfId="2" applyNumberFormat="1" applyFont="1" applyFill="1" applyBorder="1" applyAlignment="1" applyProtection="1">
      <alignment horizontal="center" wrapText="1"/>
    </xf>
    <xf numFmtId="165" fontId="4" fillId="0" borderId="0" xfId="2" applyFont="1" applyBorder="1" applyAlignment="1" applyProtection="1">
      <alignment vertical="top" wrapText="1"/>
    </xf>
    <xf numFmtId="165" fontId="3" fillId="7" borderId="52" xfId="2" applyFont="1" applyFill="1" applyBorder="1" applyAlignment="1" applyProtection="1">
      <alignment vertical="center" wrapText="1"/>
    </xf>
    <xf numFmtId="165" fontId="3" fillId="7" borderId="53" xfId="2" applyFont="1" applyFill="1" applyBorder="1" applyAlignment="1" applyProtection="1">
      <alignment vertical="center" wrapText="1"/>
    </xf>
    <xf numFmtId="165" fontId="3" fillId="7" borderId="3" xfId="2" applyFont="1" applyFill="1" applyBorder="1" applyAlignment="1" applyProtection="1">
      <alignment horizontal="left" vertical="center" wrapText="1"/>
    </xf>
    <xf numFmtId="165" fontId="3" fillId="0" borderId="52" xfId="2" applyFont="1" applyFill="1" applyBorder="1" applyAlignment="1" applyProtection="1">
      <alignment vertical="center" wrapText="1"/>
    </xf>
    <xf numFmtId="165" fontId="3" fillId="0" borderId="53" xfId="2" applyFont="1" applyFill="1" applyBorder="1" applyAlignment="1" applyProtection="1">
      <alignment vertical="center" wrapText="1"/>
    </xf>
    <xf numFmtId="167" fontId="4" fillId="0" borderId="53" xfId="4" applyNumberFormat="1" applyFont="1" applyBorder="1" applyAlignment="1" applyProtection="1">
      <alignment horizontal="left" vertical="top"/>
    </xf>
    <xf numFmtId="164" fontId="4" fillId="0" borderId="0" xfId="2" applyNumberFormat="1" applyFont="1" applyAlignment="1" applyProtection="1">
      <alignment horizontal="center"/>
    </xf>
    <xf numFmtId="164" fontId="4" fillId="0" borderId="2" xfId="1" applyNumberFormat="1" applyFont="1" applyBorder="1" applyAlignment="1" applyProtection="1">
      <alignment horizontal="center" vertical="top" wrapText="1"/>
    </xf>
    <xf numFmtId="164" fontId="4" fillId="0" borderId="0" xfId="2" applyNumberFormat="1" applyFont="1" applyBorder="1" applyAlignment="1" applyProtection="1">
      <alignment wrapText="1"/>
    </xf>
    <xf numFmtId="1" fontId="4" fillId="0" borderId="2" xfId="1" applyNumberFormat="1" applyFont="1" applyBorder="1" applyAlignment="1" applyProtection="1">
      <alignment horizontal="center" vertical="top" wrapText="1"/>
    </xf>
    <xf numFmtId="171" fontId="3" fillId="10" borderId="35" xfId="2" applyNumberFormat="1" applyFont="1" applyFill="1" applyBorder="1" applyAlignment="1" applyProtection="1">
      <alignment horizontal="center" wrapText="1"/>
    </xf>
    <xf numFmtId="165" fontId="4" fillId="0" borderId="18" xfId="2" applyFont="1" applyFill="1" applyBorder="1" applyAlignment="1" applyProtection="1">
      <alignment horizontal="left" vertical="top" wrapText="1"/>
    </xf>
    <xf numFmtId="164" fontId="3" fillId="15" borderId="2" xfId="2" applyNumberFormat="1" applyFont="1" applyFill="1" applyBorder="1" applyAlignment="1" applyProtection="1">
      <alignment horizontal="center" wrapText="1"/>
    </xf>
    <xf numFmtId="168" fontId="4" fillId="0" borderId="0" xfId="5" applyNumberFormat="1" applyFont="1" applyFill="1" applyBorder="1" applyAlignment="1" applyProtection="1">
      <alignment horizontal="center" wrapText="1"/>
    </xf>
    <xf numFmtId="9" fontId="4" fillId="0" borderId="2" xfId="5" applyFont="1" applyBorder="1" applyAlignment="1" applyProtection="1">
      <alignment horizontal="center" vertical="top" wrapText="1"/>
    </xf>
    <xf numFmtId="165" fontId="4" fillId="0" borderId="20" xfId="2" applyFont="1" applyBorder="1" applyAlignment="1" applyProtection="1">
      <alignment horizontal="left" vertical="top" wrapText="1"/>
    </xf>
    <xf numFmtId="49" fontId="4" fillId="0" borderId="2" xfId="2" applyNumberFormat="1" applyFont="1" applyBorder="1" applyAlignment="1" applyProtection="1">
      <alignment horizontal="left" vertical="top" wrapText="1"/>
    </xf>
    <xf numFmtId="165" fontId="4" fillId="0" borderId="20" xfId="2" applyFont="1" applyBorder="1" applyAlignment="1" applyProtection="1">
      <alignment horizontal="left" vertical="top"/>
    </xf>
    <xf numFmtId="165" fontId="4" fillId="0" borderId="2" xfId="2" quotePrefix="1" applyFont="1" applyBorder="1" applyAlignment="1" applyProtection="1">
      <alignment horizontal="left" vertical="top" wrapText="1"/>
    </xf>
    <xf numFmtId="165" fontId="4" fillId="0" borderId="20" xfId="2" quotePrefix="1" applyFont="1" applyBorder="1" applyAlignment="1" applyProtection="1">
      <alignment horizontal="left" vertical="top" wrapText="1"/>
    </xf>
    <xf numFmtId="167" fontId="4" fillId="0" borderId="52" xfId="4" applyNumberFormat="1" applyFont="1" applyBorder="1" applyAlignment="1" applyProtection="1">
      <alignment horizontal="center" vertical="top" wrapText="1"/>
    </xf>
    <xf numFmtId="167" fontId="4" fillId="0" borderId="53" xfId="4" applyNumberFormat="1" applyFont="1" applyBorder="1" applyAlignment="1" applyProtection="1">
      <alignment horizontal="center" vertical="top" wrapText="1"/>
    </xf>
    <xf numFmtId="167" fontId="4" fillId="0" borderId="2" xfId="4" applyNumberFormat="1" applyFont="1" applyFill="1" applyBorder="1" applyAlignment="1" applyProtection="1">
      <alignment horizontal="center" vertical="top" wrapText="1"/>
    </xf>
    <xf numFmtId="0" fontId="4" fillId="0" borderId="20" xfId="6" applyFont="1" applyFill="1" applyBorder="1" applyAlignment="1" applyProtection="1">
      <alignment horizontal="left" vertical="top" wrapText="1"/>
    </xf>
    <xf numFmtId="165" fontId="4" fillId="0" borderId="20" xfId="2" applyFont="1" applyBorder="1" applyAlignment="1" applyProtection="1">
      <alignment horizontal="center" vertical="top" wrapText="1"/>
    </xf>
    <xf numFmtId="171" fontId="4" fillId="0" borderId="18" xfId="12" applyNumberFormat="1" applyFont="1" applyBorder="1" applyAlignment="1" applyProtection="1">
      <alignment horizontal="center" vertical="top" wrapText="1"/>
    </xf>
    <xf numFmtId="0" fontId="4" fillId="0" borderId="18" xfId="6" applyFont="1" applyFill="1" applyBorder="1" applyAlignment="1" applyProtection="1">
      <alignment horizontal="center" vertical="top" wrapText="1"/>
    </xf>
    <xf numFmtId="0" fontId="4" fillId="0" borderId="23" xfId="6" applyFont="1" applyFill="1" applyBorder="1" applyAlignment="1" applyProtection="1">
      <alignment horizontal="center" vertical="top" wrapText="1"/>
    </xf>
    <xf numFmtId="0" fontId="4" fillId="0" borderId="0" xfId="6" applyFont="1" applyBorder="1" applyProtection="1"/>
    <xf numFmtId="1" fontId="4" fillId="0" borderId="0" xfId="6" applyNumberFormat="1" applyFont="1" applyBorder="1" applyProtection="1"/>
    <xf numFmtId="171" fontId="4" fillId="0" borderId="0" xfId="6" applyNumberFormat="1" applyFont="1" applyBorder="1" applyAlignment="1" applyProtection="1">
      <alignment vertical="center"/>
    </xf>
    <xf numFmtId="171" fontId="4" fillId="0" borderId="0" xfId="6" applyNumberFormat="1" applyFont="1" applyBorder="1" applyAlignment="1" applyProtection="1">
      <alignment horizontal="left" vertical="center"/>
    </xf>
    <xf numFmtId="0" fontId="4" fillId="0" borderId="0" xfId="6" applyFont="1" applyBorder="1" applyAlignment="1" applyProtection="1">
      <alignment horizontal="center" wrapText="1"/>
    </xf>
    <xf numFmtId="43" fontId="4" fillId="0" borderId="0" xfId="1" applyFont="1" applyBorder="1" applyProtection="1"/>
    <xf numFmtId="9" fontId="4" fillId="0" borderId="0" xfId="6" applyNumberFormat="1" applyFont="1" applyBorder="1" applyProtection="1"/>
    <xf numFmtId="164" fontId="4" fillId="0" borderId="0" xfId="14" applyNumberFormat="1" applyFont="1" applyBorder="1" applyProtection="1"/>
    <xf numFmtId="171" fontId="4" fillId="0" borderId="0" xfId="0" applyNumberFormat="1" applyFont="1" applyProtection="1"/>
    <xf numFmtId="171" fontId="4" fillId="0" borderId="0" xfId="6" applyNumberFormat="1" applyFont="1" applyBorder="1" applyProtection="1"/>
    <xf numFmtId="9" fontId="4" fillId="0" borderId="0" xfId="6" applyNumberFormat="1" applyFont="1" applyBorder="1" applyAlignment="1" applyProtection="1">
      <alignment horizontal="center"/>
    </xf>
    <xf numFmtId="167" fontId="4" fillId="0" borderId="0" xfId="4" applyNumberFormat="1" applyFont="1" applyBorder="1" applyProtection="1"/>
    <xf numFmtId="9" fontId="4" fillId="0" borderId="0" xfId="0" applyNumberFormat="1" applyFont="1" applyAlignment="1" applyProtection="1">
      <alignment horizontal="center"/>
    </xf>
    <xf numFmtId="1" fontId="4" fillId="0" borderId="0" xfId="0" applyNumberFormat="1" applyFont="1" applyProtection="1"/>
    <xf numFmtId="9" fontId="4" fillId="0" borderId="0" xfId="0" applyNumberFormat="1" applyFont="1" applyProtection="1"/>
    <xf numFmtId="164" fontId="4" fillId="0" borderId="0" xfId="0" applyNumberFormat="1" applyFont="1" applyProtection="1"/>
    <xf numFmtId="1" fontId="4" fillId="0" borderId="0" xfId="0" applyNumberFormat="1" applyFont="1" applyAlignment="1" applyProtection="1">
      <alignment horizontal="center"/>
    </xf>
    <xf numFmtId="167" fontId="4" fillId="0" borderId="0" xfId="4" applyNumberFormat="1" applyFont="1" applyProtection="1"/>
    <xf numFmtId="171" fontId="4" fillId="0" borderId="0" xfId="0" applyNumberFormat="1" applyFont="1" applyAlignment="1" applyProtection="1">
      <alignment horizontal="left"/>
    </xf>
    <xf numFmtId="166" fontId="4" fillId="0" borderId="0" xfId="1" applyNumberFormat="1" applyFont="1" applyBorder="1" applyAlignment="1" applyProtection="1">
      <alignment horizontal="center"/>
    </xf>
    <xf numFmtId="174" fontId="4" fillId="0" borderId="0" xfId="2" applyNumberFormat="1" applyFont="1" applyBorder="1" applyAlignment="1" applyProtection="1">
      <alignment horizontal="center"/>
    </xf>
    <xf numFmtId="43" fontId="4" fillId="0" borderId="18" xfId="1" applyFont="1" applyBorder="1" applyAlignment="1" applyProtection="1">
      <alignment horizontal="center" vertical="top" wrapText="1"/>
    </xf>
    <xf numFmtId="1" fontId="4" fillId="0" borderId="2" xfId="1" applyNumberFormat="1" applyFont="1" applyFill="1" applyBorder="1" applyAlignment="1" applyProtection="1">
      <alignment horizontal="center" vertical="top" wrapText="1"/>
    </xf>
    <xf numFmtId="9" fontId="4" fillId="0" borderId="0" xfId="0" applyNumberFormat="1" applyFont="1" applyBorder="1" applyProtection="1"/>
    <xf numFmtId="2" fontId="4" fillId="0" borderId="2" xfId="1" applyNumberFormat="1" applyFont="1" applyFill="1" applyBorder="1" applyAlignment="1" applyProtection="1">
      <alignment horizontal="center" vertical="top" wrapText="1"/>
    </xf>
    <xf numFmtId="167" fontId="4" fillId="0" borderId="55" xfId="4" applyNumberFormat="1" applyFont="1" applyBorder="1" applyAlignment="1" applyProtection="1">
      <alignment horizontal="center" vertical="top" wrapText="1"/>
    </xf>
    <xf numFmtId="167" fontId="4" fillId="0" borderId="53" xfId="4" applyNumberFormat="1" applyFont="1" applyFill="1" applyBorder="1" applyAlignment="1" applyProtection="1">
      <alignment horizontal="left" vertical="top"/>
    </xf>
    <xf numFmtId="171" fontId="3" fillId="10" borderId="2" xfId="2" applyNumberFormat="1" applyFont="1" applyFill="1" applyBorder="1" applyAlignment="1" applyProtection="1">
      <alignment horizontal="center" wrapText="1"/>
    </xf>
    <xf numFmtId="172" fontId="4" fillId="0" borderId="2" xfId="1" applyNumberFormat="1" applyFont="1" applyBorder="1" applyAlignment="1" applyProtection="1">
      <alignment horizontal="center" vertical="top" wrapText="1"/>
    </xf>
    <xf numFmtId="164" fontId="4" fillId="0" borderId="26" xfId="1" applyNumberFormat="1" applyFont="1" applyBorder="1" applyAlignment="1" applyProtection="1">
      <alignment horizontal="center" vertical="top" wrapText="1"/>
    </xf>
    <xf numFmtId="166" fontId="4" fillId="0" borderId="55" xfId="1" applyNumberFormat="1" applyFont="1" applyBorder="1" applyAlignment="1" applyProtection="1">
      <alignment horizontal="center" vertical="top" wrapText="1"/>
    </xf>
    <xf numFmtId="164" fontId="4" fillId="0" borderId="55" xfId="1" applyNumberFormat="1" applyFont="1" applyBorder="1" applyAlignment="1" applyProtection="1">
      <alignment horizontal="center" vertical="top" wrapText="1"/>
    </xf>
    <xf numFmtId="171" fontId="14" fillId="0" borderId="0" xfId="6" quotePrefix="1" applyNumberFormat="1" applyFont="1" applyBorder="1" applyAlignment="1" applyProtection="1">
      <alignment horizontal="left" vertical="center"/>
    </xf>
    <xf numFmtId="171" fontId="14" fillId="0" borderId="0" xfId="2" applyNumberFormat="1" applyFont="1" applyBorder="1" applyAlignment="1" applyProtection="1">
      <alignment horizontal="left"/>
    </xf>
    <xf numFmtId="165" fontId="4" fillId="0" borderId="0" xfId="2" applyFont="1" applyFill="1" applyAlignment="1" applyProtection="1">
      <alignment horizontal="left" vertical="center" indent="2"/>
    </xf>
    <xf numFmtId="0" fontId="4" fillId="0" borderId="0" xfId="6" applyFont="1" applyAlignment="1" applyProtection="1">
      <alignment horizontal="left" indent="2"/>
    </xf>
    <xf numFmtId="171" fontId="4" fillId="0" borderId="0" xfId="2" quotePrefix="1" applyNumberFormat="1" applyFont="1" applyBorder="1" applyAlignment="1" applyProtection="1">
      <alignment vertical="top" wrapText="1"/>
    </xf>
    <xf numFmtId="165" fontId="4" fillId="0" borderId="5" xfId="2" applyFont="1" applyBorder="1" applyAlignment="1" applyProtection="1">
      <alignment horizontal="center"/>
    </xf>
    <xf numFmtId="164" fontId="4" fillId="0" borderId="0" xfId="2" applyNumberFormat="1" applyFont="1" applyBorder="1" applyAlignment="1" applyProtection="1">
      <alignment horizontal="center"/>
    </xf>
    <xf numFmtId="165" fontId="4" fillId="0" borderId="6" xfId="2" applyFont="1" applyBorder="1" applyAlignment="1" applyProtection="1">
      <alignment horizontal="left" vertical="top"/>
    </xf>
    <xf numFmtId="1" fontId="4" fillId="0" borderId="0" xfId="0" applyNumberFormat="1" applyFont="1" applyBorder="1" applyAlignment="1" applyProtection="1">
      <alignment horizontal="center"/>
    </xf>
    <xf numFmtId="171" fontId="4" fillId="0" borderId="0" xfId="0" applyNumberFormat="1" applyFont="1" applyBorder="1" applyProtection="1"/>
    <xf numFmtId="165" fontId="14" fillId="0" borderId="0" xfId="2" applyFont="1" applyBorder="1" applyAlignment="1" applyProtection="1">
      <alignment horizontal="center" vertical="top"/>
    </xf>
    <xf numFmtId="1" fontId="4" fillId="0" borderId="0" xfId="0" applyNumberFormat="1" applyFont="1" applyBorder="1" applyProtection="1"/>
    <xf numFmtId="165" fontId="4" fillId="0" borderId="0" xfId="2" applyFont="1" applyFill="1" applyBorder="1" applyAlignment="1" applyProtection="1">
      <alignment horizontal="left" vertical="center" wrapText="1"/>
    </xf>
    <xf numFmtId="1" fontId="4" fillId="0" borderId="0" xfId="6" applyNumberFormat="1" applyFont="1" applyBorder="1" applyAlignment="1" applyProtection="1">
      <alignment horizontal="center"/>
    </xf>
    <xf numFmtId="0" fontId="4" fillId="0" borderId="0" xfId="6" applyFont="1" applyBorder="1" applyAlignment="1" applyProtection="1">
      <alignment vertical="top" wrapText="1"/>
    </xf>
    <xf numFmtId="1" fontId="4" fillId="0" borderId="0" xfId="6" applyNumberFormat="1" applyFont="1" applyBorder="1" applyAlignment="1" applyProtection="1">
      <alignment vertical="top" wrapText="1"/>
    </xf>
    <xf numFmtId="164" fontId="4" fillId="0" borderId="0" xfId="0" applyNumberFormat="1" applyFont="1" applyBorder="1" applyProtection="1"/>
    <xf numFmtId="0" fontId="7" fillId="0" borderId="0" xfId="0" applyFont="1" applyFill="1" applyBorder="1" applyAlignment="1" applyProtection="1">
      <alignment vertical="center" wrapText="1" readingOrder="1"/>
    </xf>
    <xf numFmtId="165" fontId="7" fillId="0" borderId="0" xfId="2" applyFont="1" applyBorder="1" applyAlignment="1" applyProtection="1">
      <alignment horizontal="left" vertical="top"/>
    </xf>
    <xf numFmtId="165" fontId="4" fillId="0" borderId="7" xfId="2" applyFont="1" applyBorder="1" applyAlignment="1" applyProtection="1">
      <alignment horizontal="center"/>
    </xf>
    <xf numFmtId="0" fontId="4" fillId="0" borderId="8" xfId="0" applyFont="1" applyBorder="1" applyProtection="1"/>
    <xf numFmtId="0" fontId="4" fillId="0" borderId="8" xfId="6" applyFont="1" applyBorder="1" applyProtection="1"/>
    <xf numFmtId="165" fontId="4" fillId="0" borderId="8" xfId="2" applyFont="1" applyBorder="1" applyAlignment="1" applyProtection="1">
      <alignment horizontal="center" vertical="top"/>
    </xf>
    <xf numFmtId="165" fontId="4" fillId="0" borderId="8" xfId="2" applyFont="1" applyBorder="1" applyAlignment="1" applyProtection="1">
      <alignment horizontal="left" vertical="top"/>
    </xf>
    <xf numFmtId="166" fontId="4" fillId="0" borderId="8" xfId="1" applyNumberFormat="1" applyFont="1" applyBorder="1" applyAlignment="1" applyProtection="1">
      <alignment horizontal="center"/>
    </xf>
    <xf numFmtId="1" fontId="4" fillId="0" borderId="8" xfId="0" applyNumberFormat="1" applyFont="1" applyBorder="1" applyAlignment="1" applyProtection="1">
      <alignment horizontal="center"/>
    </xf>
    <xf numFmtId="171" fontId="4" fillId="0" borderId="8" xfId="0" applyNumberFormat="1" applyFont="1" applyBorder="1" applyProtection="1"/>
    <xf numFmtId="9" fontId="4" fillId="0" borderId="8" xfId="0" applyNumberFormat="1" applyFont="1" applyBorder="1" applyProtection="1"/>
    <xf numFmtId="171" fontId="4" fillId="0" borderId="8" xfId="2" applyNumberFormat="1" applyFont="1" applyBorder="1" applyAlignment="1" applyProtection="1">
      <alignment horizontal="center"/>
    </xf>
    <xf numFmtId="171" fontId="4" fillId="0" borderId="8" xfId="2" applyNumberFormat="1" applyFont="1" applyBorder="1" applyAlignment="1" applyProtection="1">
      <alignment horizontal="left"/>
    </xf>
    <xf numFmtId="165" fontId="7" fillId="0" borderId="8" xfId="2" applyFont="1" applyBorder="1" applyAlignment="1" applyProtection="1">
      <alignment horizontal="left" vertical="top"/>
    </xf>
    <xf numFmtId="165" fontId="4" fillId="0" borderId="9" xfId="2" applyFont="1" applyBorder="1" applyAlignment="1" applyProtection="1">
      <alignment horizontal="left" vertical="top"/>
    </xf>
    <xf numFmtId="165" fontId="4" fillId="0" borderId="55" xfId="2" applyFont="1" applyBorder="1" applyAlignment="1" applyProtection="1">
      <alignment horizontal="center" vertical="top" wrapText="1"/>
    </xf>
    <xf numFmtId="171" fontId="4" fillId="0" borderId="0" xfId="0" quotePrefix="1" applyNumberFormat="1" applyFont="1" applyBorder="1" applyProtection="1"/>
    <xf numFmtId="0" fontId="4" fillId="0" borderId="0" xfId="1" applyNumberFormat="1" applyFont="1" applyBorder="1" applyAlignment="1" applyProtection="1">
      <alignment horizontal="right"/>
    </xf>
    <xf numFmtId="171" fontId="4" fillId="0" borderId="0" xfId="0" applyNumberFormat="1" applyFont="1" applyBorder="1" applyAlignment="1" applyProtection="1">
      <alignment vertical="top" wrapText="1"/>
    </xf>
    <xf numFmtId="0" fontId="7" fillId="0" borderId="0" xfId="0" applyFont="1" applyBorder="1" applyAlignment="1" applyProtection="1">
      <alignment vertical="top" wrapText="1" readingOrder="1"/>
    </xf>
    <xf numFmtId="171" fontId="4" fillId="0" borderId="0" xfId="0" applyNumberFormat="1" applyFont="1" applyFill="1" applyProtection="1"/>
    <xf numFmtId="165" fontId="4" fillId="0" borderId="0" xfId="2" applyFont="1" applyFill="1" applyBorder="1" applyAlignment="1" applyProtection="1">
      <alignment horizontal="left" vertical="top"/>
    </xf>
    <xf numFmtId="167" fontId="4" fillId="0" borderId="2" xfId="4" applyNumberFormat="1" applyFont="1" applyFill="1" applyBorder="1" applyAlignment="1" applyProtection="1">
      <alignment horizontal="center" vertical="top"/>
    </xf>
    <xf numFmtId="168" fontId="4" fillId="0" borderId="2" xfId="5" applyNumberFormat="1" applyFont="1" applyFill="1" applyBorder="1" applyAlignment="1" applyProtection="1">
      <alignment horizontal="center" vertical="top" wrapText="1"/>
    </xf>
    <xf numFmtId="0" fontId="4" fillId="0" borderId="8" xfId="0" applyFont="1" applyBorder="1" applyAlignment="1" applyProtection="1">
      <alignment wrapText="1"/>
    </xf>
    <xf numFmtId="164" fontId="3" fillId="15" borderId="29" xfId="2" applyNumberFormat="1" applyFont="1" applyFill="1" applyBorder="1" applyAlignment="1" applyProtection="1">
      <alignment wrapText="1"/>
    </xf>
    <xf numFmtId="0" fontId="7" fillId="0" borderId="0" xfId="0" applyFont="1" applyBorder="1" applyAlignment="1" applyProtection="1">
      <alignment vertical="center" wrapText="1" readingOrder="1"/>
    </xf>
    <xf numFmtId="0" fontId="7" fillId="0" borderId="0" xfId="0" applyFont="1" applyFill="1" applyBorder="1" applyAlignment="1" applyProtection="1">
      <alignment vertical="center" readingOrder="1"/>
    </xf>
    <xf numFmtId="0" fontId="7" fillId="0" borderId="0" xfId="0" applyFont="1" applyFill="1" applyBorder="1" applyAlignment="1" applyProtection="1">
      <alignment horizontal="left" vertical="center" readingOrder="1"/>
    </xf>
    <xf numFmtId="0" fontId="7" fillId="0" borderId="8" xfId="0" applyFont="1" applyBorder="1" applyAlignment="1" applyProtection="1">
      <alignment vertical="center" wrapText="1" readingOrder="1"/>
    </xf>
    <xf numFmtId="9" fontId="4" fillId="0" borderId="56" xfId="13" applyNumberFormat="1" applyFont="1" applyBorder="1" applyAlignment="1" applyProtection="1">
      <alignment horizontal="center" vertical="top" wrapText="1"/>
    </xf>
    <xf numFmtId="49" fontId="4" fillId="0" borderId="2" xfId="15" applyNumberFormat="1" applyFont="1" applyBorder="1" applyAlignment="1" applyProtection="1">
      <alignment horizontal="left" vertical="top" wrapText="1"/>
    </xf>
    <xf numFmtId="1" fontId="14" fillId="0" borderId="0" xfId="0" applyNumberFormat="1" applyFont="1" applyAlignment="1" applyProtection="1">
      <alignment horizontal="center"/>
    </xf>
    <xf numFmtId="165" fontId="14" fillId="0" borderId="0" xfId="2" applyFont="1" applyAlignment="1" applyProtection="1">
      <alignment horizontal="center" vertical="top"/>
    </xf>
    <xf numFmtId="1" fontId="3" fillId="0" borderId="0" xfId="2" applyNumberFormat="1" applyFont="1" applyBorder="1" applyAlignment="1" applyProtection="1">
      <alignment horizontal="left"/>
    </xf>
    <xf numFmtId="1" fontId="3" fillId="0" borderId="11" xfId="2" applyNumberFormat="1" applyFont="1" applyFill="1" applyBorder="1" applyAlignment="1" applyProtection="1">
      <alignment horizontal="center" wrapText="1"/>
    </xf>
    <xf numFmtId="166" fontId="3" fillId="0" borderId="11" xfId="1" applyNumberFormat="1" applyFont="1" applyFill="1" applyBorder="1" applyAlignment="1" applyProtection="1">
      <alignment horizontal="center" wrapText="1"/>
    </xf>
    <xf numFmtId="167" fontId="4" fillId="0" borderId="57" xfId="4" applyNumberFormat="1" applyFont="1" applyBorder="1" applyAlignment="1" applyProtection="1">
      <alignment horizontal="center" vertical="top" wrapText="1"/>
    </xf>
    <xf numFmtId="167" fontId="4" fillId="0" borderId="18" xfId="4" applyNumberFormat="1" applyFont="1" applyFill="1" applyBorder="1" applyAlignment="1" applyProtection="1">
      <alignment horizontal="center" vertical="top" wrapText="1"/>
    </xf>
    <xf numFmtId="173" fontId="4" fillId="0" borderId="2" xfId="4" applyNumberFormat="1" applyFont="1" applyFill="1" applyBorder="1" applyAlignment="1" applyProtection="1">
      <alignment horizontal="center" vertical="top" wrapText="1"/>
    </xf>
    <xf numFmtId="0" fontId="24" fillId="0" borderId="61" xfId="0" applyFont="1" applyBorder="1"/>
    <xf numFmtId="165" fontId="24" fillId="0" borderId="0" xfId="2" applyFont="1" applyFill="1" applyBorder="1" applyAlignment="1" applyProtection="1">
      <alignment horizontal="left" vertical="center" wrapText="1"/>
    </xf>
    <xf numFmtId="165" fontId="24" fillId="0" borderId="2" xfId="2" applyFont="1" applyFill="1" applyBorder="1" applyAlignment="1" applyProtection="1">
      <alignment horizontal="center" vertical="center" wrapText="1"/>
    </xf>
    <xf numFmtId="165" fontId="26" fillId="0" borderId="0" xfId="2" applyFont="1" applyFill="1" applyBorder="1" applyAlignment="1" applyProtection="1">
      <alignment horizontal="left" vertical="center" wrapText="1"/>
    </xf>
    <xf numFmtId="165" fontId="26" fillId="0" borderId="61" xfId="2" applyFont="1" applyFill="1" applyBorder="1" applyAlignment="1" applyProtection="1">
      <alignment horizontal="left" vertical="center" wrapText="1"/>
    </xf>
    <xf numFmtId="165" fontId="26" fillId="0" borderId="12" xfId="2" applyFont="1" applyFill="1" applyBorder="1" applyAlignment="1" applyProtection="1">
      <alignment horizontal="left" vertical="center" wrapText="1"/>
    </xf>
    <xf numFmtId="0" fontId="25" fillId="0" borderId="0" xfId="0" applyFont="1"/>
    <xf numFmtId="0" fontId="24" fillId="0" borderId="0" xfId="0" applyFont="1"/>
    <xf numFmtId="0" fontId="24" fillId="0" borderId="60" xfId="0" applyFont="1" applyBorder="1"/>
    <xf numFmtId="0" fontId="24" fillId="0" borderId="0" xfId="0" applyFont="1" applyFill="1"/>
    <xf numFmtId="0" fontId="24" fillId="0" borderId="61" xfId="0" applyFont="1" applyFill="1" applyBorder="1"/>
    <xf numFmtId="0" fontId="24" fillId="0" borderId="0" xfId="0" applyFont="1" applyFill="1" applyBorder="1"/>
    <xf numFmtId="0" fontId="24" fillId="0" borderId="12" xfId="0" applyFont="1" applyFill="1" applyBorder="1"/>
    <xf numFmtId="165" fontId="26" fillId="0" borderId="0" xfId="2" applyFont="1" applyFill="1" applyBorder="1" applyAlignment="1" applyProtection="1">
      <alignment horizontal="center" vertical="center" wrapText="1"/>
    </xf>
    <xf numFmtId="165" fontId="26" fillId="0" borderId="61" xfId="2" applyFont="1" applyFill="1" applyBorder="1" applyAlignment="1" applyProtection="1">
      <alignment horizontal="center" vertical="center" wrapText="1"/>
    </xf>
    <xf numFmtId="165" fontId="24" fillId="0" borderId="61" xfId="2" applyFont="1" applyFill="1" applyBorder="1" applyAlignment="1" applyProtection="1">
      <alignment horizontal="left" vertical="center" wrapText="1"/>
    </xf>
    <xf numFmtId="165" fontId="27" fillId="0" borderId="0" xfId="2" applyFont="1" applyFill="1" applyBorder="1" applyAlignment="1" applyProtection="1">
      <alignment horizontal="left" vertical="center" wrapText="1"/>
    </xf>
    <xf numFmtId="165" fontId="27" fillId="0" borderId="61" xfId="2" applyFont="1" applyFill="1" applyBorder="1" applyAlignment="1" applyProtection="1">
      <alignment horizontal="left" vertical="center" wrapText="1"/>
    </xf>
    <xf numFmtId="165" fontId="27" fillId="0" borderId="12" xfId="2" applyFont="1" applyFill="1" applyBorder="1" applyAlignment="1" applyProtection="1">
      <alignment horizontal="left" vertical="center" wrapText="1"/>
    </xf>
    <xf numFmtId="165" fontId="26" fillId="0" borderId="0" xfId="2" applyFont="1" applyFill="1" applyBorder="1" applyAlignment="1" applyProtection="1">
      <alignment vertical="center" wrapText="1"/>
    </xf>
    <xf numFmtId="165" fontId="26" fillId="0" borderId="61" xfId="2" applyFont="1" applyFill="1" applyBorder="1" applyAlignment="1" applyProtection="1">
      <alignment vertical="center" wrapText="1"/>
    </xf>
    <xf numFmtId="165" fontId="24" fillId="0" borderId="0" xfId="2" applyFont="1" applyFill="1" applyBorder="1" applyAlignment="1" applyProtection="1">
      <alignment horizontal="center" vertical="center" textRotation="90" wrapText="1"/>
    </xf>
    <xf numFmtId="0" fontId="25" fillId="0" borderId="0" xfId="0" applyFont="1" applyFill="1"/>
    <xf numFmtId="0" fontId="24" fillId="0" borderId="62" xfId="0" applyFont="1" applyBorder="1"/>
    <xf numFmtId="0" fontId="24" fillId="0" borderId="11" xfId="0" applyFont="1" applyBorder="1"/>
    <xf numFmtId="0" fontId="24" fillId="0" borderId="11" xfId="0" applyFont="1" applyFill="1" applyBorder="1"/>
    <xf numFmtId="0" fontId="24" fillId="0" borderId="62" xfId="0" applyFont="1" applyFill="1" applyBorder="1"/>
    <xf numFmtId="0" fontId="24" fillId="0" borderId="59" xfId="0" applyFont="1" applyFill="1" applyBorder="1"/>
    <xf numFmtId="0" fontId="28" fillId="0" borderId="0" xfId="0" applyFont="1"/>
    <xf numFmtId="165" fontId="4" fillId="0" borderId="0" xfId="2" applyFont="1" applyBorder="1" applyAlignment="1" applyProtection="1">
      <alignment horizontal="center" vertical="center" wrapText="1"/>
    </xf>
    <xf numFmtId="165" fontId="3" fillId="0" borderId="2" xfId="2" applyFont="1" applyFill="1" applyBorder="1" applyAlignment="1" applyProtection="1">
      <alignment horizontal="center" vertical="center" wrapText="1"/>
    </xf>
    <xf numFmtId="0" fontId="3" fillId="11" borderId="2" xfId="6" applyFont="1" applyFill="1" applyBorder="1" applyAlignment="1" applyProtection="1">
      <alignment horizontal="center" vertical="center" wrapText="1"/>
    </xf>
    <xf numFmtId="165" fontId="3" fillId="0" borderId="2" xfId="2" quotePrefix="1" applyFont="1" applyFill="1" applyBorder="1" applyAlignment="1" applyProtection="1">
      <alignment horizontal="center" vertical="center" wrapText="1"/>
    </xf>
    <xf numFmtId="165" fontId="3" fillId="0" borderId="18" xfId="2" applyFont="1" applyFill="1" applyBorder="1" applyAlignment="1" applyProtection="1">
      <alignment horizontal="center" vertical="center" wrapText="1"/>
    </xf>
    <xf numFmtId="171" fontId="4" fillId="0" borderId="0" xfId="2" quotePrefix="1" applyNumberFormat="1" applyFont="1" applyBorder="1" applyAlignment="1" applyProtection="1">
      <alignment horizontal="center" vertical="top" wrapText="1"/>
    </xf>
    <xf numFmtId="0" fontId="4" fillId="0" borderId="8" xfId="6" applyFont="1" applyBorder="1" applyAlignment="1" applyProtection="1">
      <alignment horizontal="center"/>
    </xf>
    <xf numFmtId="0" fontId="4" fillId="0" borderId="0" xfId="6" applyFont="1" applyBorder="1" applyAlignment="1" applyProtection="1">
      <alignment horizontal="center"/>
    </xf>
    <xf numFmtId="165" fontId="4" fillId="0" borderId="0" xfId="2" applyFont="1" applyAlignment="1" applyProtection="1">
      <alignment horizontal="center" vertical="center" wrapText="1"/>
    </xf>
    <xf numFmtId="0" fontId="7" fillId="0" borderId="0" xfId="0" applyFont="1" applyFill="1" applyBorder="1" applyAlignment="1" applyProtection="1">
      <alignment horizontal="center" vertical="center"/>
    </xf>
    <xf numFmtId="1" fontId="24" fillId="0" borderId="62" xfId="0" applyNumberFormat="1" applyFont="1" applyFill="1" applyBorder="1" applyAlignment="1">
      <alignment horizontal="center"/>
    </xf>
    <xf numFmtId="1" fontId="24" fillId="0" borderId="61" xfId="0" applyNumberFormat="1" applyFont="1" applyFill="1" applyBorder="1"/>
    <xf numFmtId="1" fontId="24" fillId="0" borderId="0" xfId="0" applyNumberFormat="1" applyFont="1" applyFill="1" applyBorder="1"/>
    <xf numFmtId="165" fontId="24" fillId="0" borderId="65" xfId="2" applyFont="1" applyFill="1" applyBorder="1" applyAlignment="1" applyProtection="1">
      <alignment horizontal="center" vertical="center" wrapText="1"/>
    </xf>
    <xf numFmtId="1" fontId="24" fillId="0" borderId="63" xfId="0" applyNumberFormat="1" applyFont="1" applyFill="1" applyBorder="1" applyAlignment="1">
      <alignment horizontal="center"/>
    </xf>
    <xf numFmtId="165" fontId="29" fillId="28" borderId="0" xfId="2" applyFont="1" applyFill="1" applyBorder="1" applyAlignment="1" applyProtection="1">
      <alignment horizontal="left" vertical="center" wrapText="1"/>
    </xf>
    <xf numFmtId="0" fontId="24" fillId="0" borderId="63" xfId="0" applyFont="1" applyFill="1" applyBorder="1" applyAlignment="1">
      <alignment horizontal="center" vertical="center" textRotation="90"/>
    </xf>
    <xf numFmtId="0" fontId="24" fillId="0" borderId="58" xfId="0" applyFont="1" applyFill="1" applyBorder="1" applyAlignment="1">
      <alignment horizontal="center" vertical="center" textRotation="90"/>
    </xf>
    <xf numFmtId="0" fontId="24" fillId="0" borderId="64" xfId="0" applyFont="1" applyFill="1" applyBorder="1" applyAlignment="1">
      <alignment horizontal="center" vertical="center" textRotation="90"/>
    </xf>
    <xf numFmtId="165" fontId="3" fillId="0" borderId="52" xfId="2" applyFont="1" applyFill="1" applyBorder="1" applyAlignment="1" applyProtection="1">
      <alignment horizontal="center" vertical="center" wrapText="1"/>
    </xf>
    <xf numFmtId="165" fontId="3" fillId="0" borderId="53" xfId="2" applyFont="1" applyFill="1" applyBorder="1" applyAlignment="1" applyProtection="1">
      <alignment horizontal="center" vertical="center" wrapText="1"/>
    </xf>
    <xf numFmtId="165" fontId="4" fillId="0" borderId="25" xfId="2" applyFont="1" applyFill="1" applyBorder="1" applyAlignment="1" applyProtection="1">
      <alignment horizontal="center" vertical="top" wrapText="1"/>
    </xf>
    <xf numFmtId="0" fontId="4" fillId="0" borderId="2" xfId="6" applyFont="1" applyBorder="1" applyAlignment="1" applyProtection="1">
      <alignment horizontal="center" vertical="center" wrapText="1"/>
    </xf>
    <xf numFmtId="0" fontId="4" fillId="0" borderId="2" xfId="6" applyFont="1" applyBorder="1" applyAlignment="1" applyProtection="1">
      <alignment horizontal="center" vertical="top" wrapText="1"/>
    </xf>
    <xf numFmtId="0" fontId="4" fillId="0" borderId="0" xfId="0" applyFont="1" applyAlignment="1" applyProtection="1">
      <alignment horizontal="center" wrapText="1"/>
    </xf>
    <xf numFmtId="165" fontId="4" fillId="0" borderId="2" xfId="2" applyFont="1" applyBorder="1" applyAlignment="1" applyProtection="1">
      <alignment horizontal="left" vertical="top" wrapText="1" indent="2"/>
    </xf>
    <xf numFmtId="166" fontId="4" fillId="25" borderId="2" xfId="1" applyNumberFormat="1" applyFont="1" applyFill="1" applyBorder="1" applyAlignment="1" applyProtection="1">
      <alignment horizontal="center" vertical="top" wrapText="1"/>
    </xf>
    <xf numFmtId="1" fontId="4" fillId="30" borderId="2" xfId="1" applyNumberFormat="1" applyFont="1" applyFill="1" applyBorder="1" applyAlignment="1" applyProtection="1">
      <alignment horizontal="center" vertical="top" wrapText="1"/>
    </xf>
    <xf numFmtId="172" fontId="4" fillId="0" borderId="0" xfId="1" applyNumberFormat="1" applyFont="1" applyBorder="1" applyProtection="1"/>
    <xf numFmtId="0" fontId="7" fillId="0" borderId="0" xfId="0" applyFont="1" applyFill="1" applyBorder="1" applyAlignment="1" applyProtection="1">
      <alignment horizontal="center" vertical="center" readingOrder="1"/>
    </xf>
    <xf numFmtId="0" fontId="4" fillId="0" borderId="0" xfId="0" applyFont="1" applyAlignment="1" applyProtection="1">
      <alignment horizontal="center" readingOrder="1"/>
    </xf>
    <xf numFmtId="172" fontId="4" fillId="0" borderId="2" xfId="1" applyNumberFormat="1" applyFont="1" applyFill="1" applyBorder="1" applyAlignment="1" applyProtection="1">
      <alignment horizontal="center" vertical="top" wrapText="1"/>
    </xf>
    <xf numFmtId="164" fontId="4" fillId="0" borderId="2" xfId="1" applyNumberFormat="1" applyFont="1" applyFill="1" applyBorder="1" applyAlignment="1" applyProtection="1">
      <alignment horizontal="center" vertical="top" wrapText="1"/>
    </xf>
    <xf numFmtId="164" fontId="4" fillId="25" borderId="2" xfId="1" applyNumberFormat="1" applyFont="1" applyFill="1" applyBorder="1" applyAlignment="1" applyProtection="1">
      <alignment horizontal="center" vertical="top" wrapText="1"/>
    </xf>
    <xf numFmtId="166" fontId="15" fillId="15" borderId="3" xfId="1" applyNumberFormat="1" applyFont="1" applyFill="1" applyBorder="1" applyAlignment="1" applyProtection="1">
      <alignment horizontal="center" wrapText="1"/>
    </xf>
    <xf numFmtId="0" fontId="4" fillId="0" borderId="0" xfId="0" applyFont="1" applyBorder="1" applyAlignment="1" applyProtection="1">
      <alignment horizontal="left" vertical="top" wrapText="1"/>
    </xf>
    <xf numFmtId="0" fontId="7" fillId="0" borderId="0" xfId="0" applyFont="1" applyBorder="1" applyAlignment="1" applyProtection="1">
      <alignment horizontal="left" vertical="center" wrapText="1" readingOrder="1"/>
    </xf>
    <xf numFmtId="1" fontId="4" fillId="0" borderId="0" xfId="6" applyNumberFormat="1" applyFont="1" applyBorder="1" applyAlignment="1" applyProtection="1">
      <alignment horizontal="left" vertical="top" wrapText="1"/>
    </xf>
    <xf numFmtId="165" fontId="3" fillId="10" borderId="3" xfId="2" applyFont="1" applyFill="1" applyBorder="1" applyAlignment="1" applyProtection="1">
      <alignment horizontal="center" wrapText="1"/>
    </xf>
    <xf numFmtId="165" fontId="4" fillId="0" borderId="2" xfId="2" applyFont="1" applyBorder="1" applyAlignment="1" applyProtection="1">
      <alignment horizontal="left" vertical="top" wrapText="1"/>
    </xf>
    <xf numFmtId="165" fontId="4" fillId="0" borderId="2" xfId="2" applyFont="1" applyBorder="1" applyAlignment="1" applyProtection="1">
      <alignment horizontal="center" vertical="top" wrapText="1"/>
    </xf>
    <xf numFmtId="1" fontId="3" fillId="14" borderId="2" xfId="2" applyNumberFormat="1" applyFont="1" applyFill="1" applyBorder="1" applyAlignment="1" applyProtection="1">
      <alignment horizontal="center" wrapText="1"/>
    </xf>
    <xf numFmtId="1" fontId="3" fillId="15" borderId="2" xfId="2" applyNumberFormat="1" applyFont="1" applyFill="1" applyBorder="1" applyAlignment="1" applyProtection="1">
      <alignment horizontal="center" wrapText="1"/>
    </xf>
    <xf numFmtId="165" fontId="3" fillId="10" borderId="2" xfId="2" applyFont="1" applyFill="1" applyBorder="1" applyAlignment="1" applyProtection="1">
      <alignment horizontal="center" wrapText="1"/>
    </xf>
    <xf numFmtId="165" fontId="3" fillId="15" borderId="3" xfId="2" applyFont="1" applyFill="1" applyBorder="1" applyAlignment="1" applyProtection="1">
      <alignment horizontal="center" wrapText="1"/>
    </xf>
    <xf numFmtId="165" fontId="4" fillId="0" borderId="2" xfId="2" applyFont="1" applyFill="1" applyBorder="1" applyAlignment="1" applyProtection="1">
      <alignment horizontal="left" vertical="top" wrapText="1"/>
    </xf>
    <xf numFmtId="165" fontId="4" fillId="0" borderId="2" xfId="2" applyFont="1" applyFill="1" applyBorder="1" applyAlignment="1" applyProtection="1">
      <alignment horizontal="center" vertical="top" wrapText="1"/>
    </xf>
    <xf numFmtId="165" fontId="3" fillId="8" borderId="2" xfId="2" applyFont="1" applyFill="1" applyBorder="1" applyAlignment="1" applyProtection="1">
      <alignment horizontal="left" vertical="center" wrapText="1"/>
    </xf>
    <xf numFmtId="165" fontId="3" fillId="0" borderId="26" xfId="2" applyFont="1" applyFill="1" applyBorder="1" applyAlignment="1" applyProtection="1">
      <alignment horizontal="center" vertical="center" wrapText="1"/>
    </xf>
    <xf numFmtId="165" fontId="3" fillId="0" borderId="25" xfId="2" applyFont="1" applyFill="1" applyBorder="1" applyAlignment="1" applyProtection="1">
      <alignment horizontal="center" vertical="center" wrapText="1"/>
    </xf>
    <xf numFmtId="165" fontId="3" fillId="0" borderId="3" xfId="2" applyFont="1" applyFill="1" applyBorder="1" applyAlignment="1" applyProtection="1">
      <alignment horizontal="center" vertical="center" wrapText="1"/>
    </xf>
    <xf numFmtId="0" fontId="3" fillId="12" borderId="2" xfId="6" applyFont="1" applyFill="1" applyBorder="1" applyAlignment="1" applyProtection="1">
      <alignment horizontal="center" vertical="center" wrapText="1"/>
    </xf>
    <xf numFmtId="165" fontId="3" fillId="10" borderId="24" xfId="2" applyFont="1" applyFill="1" applyBorder="1" applyAlignment="1" applyProtection="1">
      <alignment horizontal="center" wrapText="1"/>
    </xf>
    <xf numFmtId="165" fontId="3" fillId="10" borderId="25" xfId="2" applyFont="1" applyFill="1" applyBorder="1" applyAlignment="1" applyProtection="1">
      <alignment horizontal="center" wrapText="1"/>
    </xf>
    <xf numFmtId="165" fontId="3" fillId="7" borderId="2" xfId="2" applyFont="1" applyFill="1" applyBorder="1" applyAlignment="1" applyProtection="1">
      <alignment horizontal="left" vertical="center" wrapText="1"/>
    </xf>
    <xf numFmtId="165" fontId="4" fillId="0" borderId="0" xfId="2" applyFont="1" applyBorder="1" applyAlignment="1" applyProtection="1">
      <alignment horizontal="left" vertical="center" wrapText="1"/>
    </xf>
    <xf numFmtId="171" fontId="3" fillId="22" borderId="2" xfId="2" applyNumberFormat="1" applyFont="1" applyFill="1" applyBorder="1" applyAlignment="1" applyProtection="1">
      <alignment horizontal="center" wrapText="1"/>
    </xf>
    <xf numFmtId="0" fontId="7" fillId="0" borderId="0" xfId="0" applyFont="1" applyFill="1" applyBorder="1" applyAlignment="1" applyProtection="1">
      <alignment horizontal="left" vertical="center" wrapText="1" readingOrder="1"/>
    </xf>
    <xf numFmtId="0" fontId="4" fillId="0" borderId="2" xfId="6" applyFont="1" applyFill="1" applyBorder="1" applyAlignment="1" applyProtection="1">
      <alignment horizontal="center" vertical="top" wrapText="1"/>
    </xf>
    <xf numFmtId="171" fontId="4" fillId="0" borderId="2" xfId="12" applyNumberFormat="1" applyFont="1" applyBorder="1" applyAlignment="1" applyProtection="1">
      <alignment horizontal="left" vertical="top" wrapText="1"/>
    </xf>
    <xf numFmtId="165" fontId="4" fillId="0" borderId="0" xfId="2" applyFont="1" applyBorder="1" applyAlignment="1" applyProtection="1">
      <alignment horizontal="left" vertical="top" wrapText="1"/>
    </xf>
    <xf numFmtId="165" fontId="4" fillId="0" borderId="0" xfId="2" applyFont="1" applyBorder="1" applyAlignment="1" applyProtection="1">
      <alignment vertical="center" wrapText="1"/>
    </xf>
    <xf numFmtId="165" fontId="4" fillId="0" borderId="26" xfId="2" applyFont="1" applyBorder="1" applyAlignment="1" applyProtection="1">
      <alignment horizontal="center" vertical="top" wrapText="1"/>
    </xf>
    <xf numFmtId="165" fontId="4" fillId="0" borderId="26" xfId="2" applyFont="1" applyFill="1" applyBorder="1" applyAlignment="1" applyProtection="1">
      <alignment horizontal="center" vertical="top" wrapText="1"/>
    </xf>
    <xf numFmtId="165" fontId="4" fillId="0" borderId="3" xfId="2" applyFont="1" applyFill="1" applyBorder="1" applyAlignment="1" applyProtection="1">
      <alignment horizontal="center" vertical="top" wrapText="1"/>
    </xf>
    <xf numFmtId="166" fontId="4" fillId="0" borderId="26" xfId="1" applyNumberFormat="1" applyFont="1" applyBorder="1" applyAlignment="1" applyProtection="1">
      <alignment horizontal="center" vertical="top" wrapText="1"/>
    </xf>
    <xf numFmtId="166" fontId="4" fillId="0" borderId="26" xfId="11" applyNumberFormat="1" applyFont="1" applyBorder="1" applyAlignment="1" applyProtection="1">
      <alignment horizontal="center" vertical="top" wrapText="1"/>
    </xf>
    <xf numFmtId="167" fontId="4" fillId="0" borderId="26" xfId="4" applyNumberFormat="1" applyFont="1" applyBorder="1" applyAlignment="1" applyProtection="1">
      <alignment horizontal="center" vertical="top" wrapText="1"/>
    </xf>
    <xf numFmtId="167" fontId="4" fillId="0" borderId="3" xfId="4" applyNumberFormat="1"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0" xfId="0" applyFont="1" applyBorder="1" applyAlignment="1" applyProtection="1">
      <alignment horizontal="center"/>
    </xf>
    <xf numFmtId="0" fontId="4" fillId="0" borderId="8" xfId="0" applyFont="1" applyBorder="1" applyAlignment="1" applyProtection="1">
      <alignment horizontal="center"/>
    </xf>
    <xf numFmtId="165" fontId="4" fillId="0" borderId="0" xfId="2" applyFont="1" applyFill="1" applyAlignment="1" applyProtection="1">
      <alignment horizontal="center" vertical="center" wrapText="1"/>
    </xf>
    <xf numFmtId="37" fontId="4" fillId="25" borderId="2" xfId="11" applyNumberFormat="1" applyFont="1" applyFill="1" applyBorder="1" applyAlignment="1" applyProtection="1">
      <alignment horizontal="center" vertical="top" wrapText="1"/>
    </xf>
    <xf numFmtId="175" fontId="4" fillId="25" borderId="2" xfId="11" applyNumberFormat="1" applyFont="1" applyFill="1" applyBorder="1" applyAlignment="1" applyProtection="1">
      <alignment horizontal="center" vertical="top" wrapText="1"/>
    </xf>
    <xf numFmtId="175" fontId="4" fillId="0" borderId="2" xfId="11" applyNumberFormat="1" applyFont="1" applyBorder="1" applyAlignment="1" applyProtection="1">
      <alignment horizontal="center" vertical="top" wrapText="1"/>
    </xf>
    <xf numFmtId="3" fontId="4" fillId="0" borderId="2" xfId="1" applyNumberFormat="1" applyFont="1" applyBorder="1" applyAlignment="1" applyProtection="1">
      <alignment horizontal="center" vertical="top" wrapText="1"/>
    </xf>
    <xf numFmtId="3" fontId="4" fillId="0" borderId="2" xfId="11" applyNumberFormat="1" applyFont="1" applyBorder="1" applyAlignment="1" applyProtection="1">
      <alignment horizontal="center" vertical="top" wrapText="1"/>
    </xf>
    <xf numFmtId="3" fontId="4" fillId="0" borderId="18" xfId="11" applyNumberFormat="1" applyFont="1" applyBorder="1" applyAlignment="1" applyProtection="1">
      <alignment horizontal="center" vertical="top" wrapText="1"/>
    </xf>
    <xf numFmtId="37" fontId="4" fillId="30" borderId="2" xfId="1" applyNumberFormat="1" applyFont="1" applyFill="1" applyBorder="1" applyAlignment="1" applyProtection="1">
      <alignment horizontal="center" vertical="top" wrapText="1"/>
    </xf>
    <xf numFmtId="37" fontId="4" fillId="25" borderId="2" xfId="1" applyNumberFormat="1" applyFont="1" applyFill="1" applyBorder="1" applyAlignment="1" applyProtection="1">
      <alignment horizontal="center" vertical="top" wrapText="1"/>
    </xf>
    <xf numFmtId="37" fontId="4" fillId="0" borderId="2" xfId="1" applyNumberFormat="1" applyFont="1" applyBorder="1" applyAlignment="1" applyProtection="1">
      <alignment horizontal="center" vertical="top" wrapText="1"/>
    </xf>
    <xf numFmtId="37" fontId="4" fillId="0" borderId="2" xfId="1" applyNumberFormat="1" applyFont="1" applyFill="1" applyBorder="1" applyAlignment="1" applyProtection="1">
      <alignment horizontal="center" vertical="top" wrapText="1"/>
    </xf>
    <xf numFmtId="37" fontId="4" fillId="0" borderId="2" xfId="1" quotePrefix="1" applyNumberFormat="1" applyFont="1" applyBorder="1" applyAlignment="1" applyProtection="1">
      <alignment horizontal="center" vertical="top" wrapText="1"/>
    </xf>
    <xf numFmtId="37" fontId="4" fillId="0" borderId="18" xfId="1" applyNumberFormat="1" applyFont="1" applyBorder="1" applyAlignment="1" applyProtection="1">
      <alignment horizontal="center" vertical="top" wrapText="1"/>
    </xf>
    <xf numFmtId="37" fontId="4" fillId="0" borderId="2" xfId="11" applyNumberFormat="1" applyFont="1" applyBorder="1" applyAlignment="1" applyProtection="1">
      <alignment horizontal="center" vertical="top" wrapText="1"/>
    </xf>
    <xf numFmtId="37" fontId="4" fillId="0" borderId="18" xfId="11" applyNumberFormat="1" applyFont="1" applyBorder="1" applyAlignment="1" applyProtection="1">
      <alignment horizontal="center" vertical="top" wrapText="1"/>
    </xf>
    <xf numFmtId="172" fontId="4" fillId="0" borderId="2" xfId="11" applyNumberFormat="1" applyFont="1" applyFill="1" applyBorder="1" applyAlignment="1" applyProtection="1">
      <alignment horizontal="center" vertical="top" wrapText="1"/>
    </xf>
    <xf numFmtId="166" fontId="15" fillId="15" borderId="53" xfId="1" applyNumberFormat="1" applyFont="1" applyFill="1" applyBorder="1" applyAlignment="1" applyProtection="1">
      <alignment horizontal="center" wrapText="1"/>
    </xf>
    <xf numFmtId="165" fontId="3" fillId="15" borderId="53" xfId="2" applyFont="1" applyFill="1" applyBorder="1" applyAlignment="1" applyProtection="1">
      <alignment horizontal="center" wrapText="1"/>
    </xf>
    <xf numFmtId="165" fontId="30" fillId="0" borderId="2" xfId="2" applyFont="1" applyBorder="1" applyAlignment="1" applyProtection="1">
      <alignment horizontal="left" vertical="top" wrapText="1"/>
    </xf>
    <xf numFmtId="2" fontId="4" fillId="25" borderId="2" xfId="1" applyNumberFormat="1" applyFont="1" applyFill="1" applyBorder="1" applyAlignment="1" applyProtection="1">
      <alignment horizontal="center" vertical="top" wrapText="1"/>
    </xf>
    <xf numFmtId="3" fontId="4" fillId="25" borderId="2" xfId="1" applyNumberFormat="1" applyFont="1" applyFill="1" applyBorder="1" applyAlignment="1" applyProtection="1">
      <alignment horizontal="center" vertical="top" wrapText="1"/>
    </xf>
    <xf numFmtId="167" fontId="4" fillId="25" borderId="2" xfId="4" applyNumberFormat="1" applyFont="1" applyFill="1" applyBorder="1" applyAlignment="1" applyProtection="1">
      <alignment horizontal="center" vertical="top" wrapText="1"/>
    </xf>
    <xf numFmtId="37" fontId="4" fillId="0" borderId="2" xfId="11" applyNumberFormat="1" applyFont="1" applyFill="1" applyBorder="1" applyAlignment="1" applyProtection="1">
      <alignment horizontal="center" vertical="top" wrapText="1"/>
    </xf>
    <xf numFmtId="166" fontId="4" fillId="0" borderId="2" xfId="1" applyNumberFormat="1" applyFont="1" applyFill="1" applyBorder="1" applyAlignment="1" applyProtection="1">
      <alignment horizontal="center" vertical="top" wrapText="1"/>
    </xf>
    <xf numFmtId="9" fontId="4" fillId="0" borderId="2" xfId="5" applyFont="1" applyFill="1" applyBorder="1" applyAlignment="1" applyProtection="1">
      <alignment horizontal="center" vertical="top" wrapText="1"/>
    </xf>
    <xf numFmtId="9" fontId="4" fillId="0" borderId="2" xfId="12" applyNumberFormat="1" applyFont="1" applyBorder="1" applyAlignment="1" applyProtection="1">
      <alignment horizontal="center" vertical="top" wrapText="1"/>
    </xf>
    <xf numFmtId="10" fontId="4" fillId="0" borderId="2" xfId="13" applyNumberFormat="1" applyFont="1" applyBorder="1" applyAlignment="1" applyProtection="1">
      <alignment horizontal="left" vertical="top" wrapText="1"/>
    </xf>
    <xf numFmtId="170" fontId="4" fillId="0" borderId="2" xfId="1" applyNumberFormat="1" applyFont="1" applyBorder="1" applyAlignment="1" applyProtection="1">
      <alignment horizontal="center" vertical="top" wrapText="1"/>
    </xf>
    <xf numFmtId="10" fontId="4" fillId="0" borderId="2" xfId="13" applyNumberFormat="1" applyFont="1" applyBorder="1" applyAlignment="1" applyProtection="1">
      <alignment horizontal="left" vertical="top"/>
    </xf>
    <xf numFmtId="9" fontId="4" fillId="0" borderId="2" xfId="12" applyNumberFormat="1" applyFont="1" applyFill="1" applyBorder="1" applyAlignment="1" applyProtection="1">
      <alignment horizontal="center" vertical="top" wrapText="1"/>
    </xf>
    <xf numFmtId="10" fontId="4" fillId="0" borderId="2" xfId="13" quotePrefix="1" applyNumberFormat="1" applyFont="1" applyBorder="1" applyAlignment="1" applyProtection="1">
      <alignment horizontal="left" vertical="top" wrapText="1"/>
    </xf>
    <xf numFmtId="1" fontId="4" fillId="0" borderId="18" xfId="11" applyNumberFormat="1" applyFont="1" applyBorder="1" applyAlignment="1" applyProtection="1">
      <alignment horizontal="center" vertical="top" wrapText="1"/>
    </xf>
    <xf numFmtId="9" fontId="4" fillId="0" borderId="18" xfId="5" applyFont="1" applyBorder="1" applyAlignment="1" applyProtection="1">
      <alignment horizontal="center" vertical="top" wrapText="1"/>
    </xf>
    <xf numFmtId="10" fontId="4" fillId="0" borderId="18" xfId="13" applyNumberFormat="1" applyFont="1" applyBorder="1" applyAlignment="1" applyProtection="1">
      <alignment horizontal="left" vertical="top" wrapText="1"/>
    </xf>
    <xf numFmtId="43" fontId="4" fillId="25" borderId="2" xfId="1" applyNumberFormat="1" applyFont="1" applyFill="1" applyBorder="1" applyAlignment="1" applyProtection="1">
      <alignment horizontal="center" vertical="top" wrapText="1"/>
    </xf>
    <xf numFmtId="43" fontId="4" fillId="25" borderId="3" xfId="1" applyNumberFormat="1" applyFont="1" applyFill="1" applyBorder="1" applyAlignment="1" applyProtection="1">
      <alignment horizontal="center" vertical="top" wrapText="1"/>
    </xf>
    <xf numFmtId="166" fontId="4" fillId="0" borderId="4" xfId="1" applyNumberFormat="1" applyFont="1" applyFill="1" applyBorder="1" applyAlignment="1" applyProtection="1">
      <alignment horizontal="center"/>
    </xf>
    <xf numFmtId="0" fontId="4" fillId="25" borderId="4" xfId="1" applyNumberFormat="1" applyFont="1" applyFill="1" applyBorder="1" applyAlignment="1" applyProtection="1">
      <alignment horizontal="right"/>
    </xf>
    <xf numFmtId="174" fontId="4" fillId="25" borderId="4" xfId="2" applyNumberFormat="1" applyFont="1" applyFill="1" applyBorder="1" applyAlignment="1" applyProtection="1">
      <alignment horizontal="center"/>
    </xf>
    <xf numFmtId="172" fontId="4" fillId="0" borderId="4" xfId="1" applyNumberFormat="1" applyFont="1" applyFill="1" applyBorder="1" applyAlignment="1" applyProtection="1">
      <alignment horizontal="center"/>
    </xf>
    <xf numFmtId="167" fontId="4" fillId="25" borderId="4" xfId="4" applyNumberFormat="1" applyFont="1" applyFill="1" applyBorder="1" applyAlignment="1" applyProtection="1">
      <alignment horizontal="center" wrapText="1"/>
    </xf>
    <xf numFmtId="0" fontId="19" fillId="0" borderId="0" xfId="0" applyFont="1" applyAlignment="1" applyProtection="1">
      <alignment vertical="center"/>
    </xf>
    <xf numFmtId="0" fontId="20" fillId="0" borderId="0" xfId="0" applyFont="1" applyAlignment="1" applyProtection="1">
      <alignment vertical="center"/>
    </xf>
    <xf numFmtId="171" fontId="4" fillId="0" borderId="0" xfId="2" quotePrefix="1" applyNumberFormat="1" applyFont="1" applyFill="1" applyBorder="1" applyAlignment="1" applyProtection="1">
      <alignment horizontal="left"/>
    </xf>
    <xf numFmtId="171" fontId="4" fillId="0" borderId="0" xfId="0" applyNumberFormat="1" applyFont="1" applyFill="1" applyBorder="1" applyProtection="1"/>
    <xf numFmtId="166" fontId="4" fillId="0" borderId="0" xfId="1" applyNumberFormat="1" applyFont="1" applyFill="1" applyBorder="1" applyAlignment="1" applyProtection="1"/>
    <xf numFmtId="171" fontId="3" fillId="31" borderId="2" xfId="2" applyNumberFormat="1" applyFont="1" applyFill="1" applyBorder="1" applyAlignment="1" applyProtection="1">
      <alignment horizontal="center" wrapText="1"/>
    </xf>
    <xf numFmtId="173" fontId="4" fillId="0" borderId="2" xfId="4" applyNumberFormat="1" applyFont="1" applyFill="1" applyBorder="1" applyAlignment="1" applyProtection="1">
      <alignment horizontal="center" vertical="top"/>
    </xf>
    <xf numFmtId="43" fontId="4" fillId="25" borderId="44" xfId="1" applyNumberFormat="1" applyFont="1" applyFill="1" applyBorder="1" applyAlignment="1" applyProtection="1">
      <alignment horizontal="center" vertical="top" wrapText="1"/>
    </xf>
    <xf numFmtId="43" fontId="4" fillId="25" borderId="43" xfId="1" applyNumberFormat="1" applyFont="1" applyFill="1" applyBorder="1" applyAlignment="1" applyProtection="1">
      <alignment horizontal="center" vertical="top" wrapText="1"/>
    </xf>
    <xf numFmtId="43" fontId="4" fillId="25" borderId="4" xfId="1" applyNumberFormat="1" applyFont="1" applyFill="1" applyBorder="1" applyAlignment="1" applyProtection="1">
      <alignment horizontal="center" vertical="top" wrapText="1"/>
    </xf>
    <xf numFmtId="166" fontId="4" fillId="0" borderId="18" xfId="1" applyNumberFormat="1" applyFont="1" applyFill="1" applyBorder="1" applyAlignment="1" applyProtection="1">
      <alignment horizontal="center" vertical="top" wrapText="1"/>
    </xf>
    <xf numFmtId="1" fontId="4" fillId="25" borderId="2" xfId="1" applyNumberFormat="1" applyFont="1" applyFill="1" applyBorder="1" applyAlignment="1" applyProtection="1">
      <alignment horizontal="center" vertical="top" wrapText="1"/>
    </xf>
    <xf numFmtId="172" fontId="4" fillId="25" borderId="2" xfId="1" applyNumberFormat="1" applyFont="1" applyFill="1" applyBorder="1" applyAlignment="1" applyProtection="1">
      <alignment horizontal="center" vertical="top" wrapText="1"/>
    </xf>
    <xf numFmtId="165" fontId="4" fillId="0" borderId="2" xfId="2" applyFont="1" applyBorder="1" applyAlignment="1" applyProtection="1">
      <alignment horizontal="left" vertical="top" wrapText="1"/>
    </xf>
    <xf numFmtId="3" fontId="3" fillId="15" borderId="25" xfId="2" applyNumberFormat="1" applyFont="1" applyFill="1" applyBorder="1" applyAlignment="1" applyProtection="1">
      <alignment horizontal="center" wrapText="1"/>
    </xf>
    <xf numFmtId="3" fontId="3" fillId="15" borderId="3" xfId="2" applyNumberFormat="1" applyFont="1" applyFill="1" applyBorder="1" applyAlignment="1" applyProtection="1">
      <alignment horizontal="center" wrapText="1"/>
    </xf>
    <xf numFmtId="171" fontId="4" fillId="0" borderId="0" xfId="2" quotePrefix="1" applyNumberFormat="1" applyFont="1" applyFill="1" applyBorder="1" applyAlignment="1" applyProtection="1">
      <alignment vertical="top" wrapText="1"/>
    </xf>
    <xf numFmtId="165" fontId="4" fillId="0" borderId="2" xfId="2" applyFont="1" applyBorder="1" applyAlignment="1" applyProtection="1">
      <alignment horizontal="left" vertical="top" wrapText="1"/>
    </xf>
    <xf numFmtId="165" fontId="4" fillId="0" borderId="2" xfId="2" applyFont="1" applyFill="1" applyBorder="1" applyAlignment="1" applyProtection="1">
      <alignment horizontal="left" vertical="top" wrapText="1"/>
    </xf>
    <xf numFmtId="1" fontId="4" fillId="25" borderId="4" xfId="6" applyNumberFormat="1" applyFont="1" applyFill="1" applyBorder="1" applyAlignment="1" applyProtection="1">
      <alignment horizontal="right"/>
      <protection locked="0"/>
    </xf>
    <xf numFmtId="165" fontId="4" fillId="25" borderId="0" xfId="2" applyFont="1" applyFill="1" applyBorder="1" applyAlignment="1" applyProtection="1">
      <alignment horizontal="center"/>
      <protection locked="0"/>
    </xf>
    <xf numFmtId="168" fontId="4" fillId="25" borderId="4" xfId="5" applyNumberFormat="1" applyFont="1" applyFill="1" applyBorder="1" applyAlignment="1" applyProtection="1">
      <alignment horizontal="center" wrapText="1"/>
      <protection locked="0"/>
    </xf>
    <xf numFmtId="10" fontId="4" fillId="25" borderId="4" xfId="5" applyNumberFormat="1" applyFont="1" applyFill="1" applyBorder="1" applyAlignment="1" applyProtection="1">
      <alignment horizontal="right"/>
      <protection locked="0"/>
    </xf>
    <xf numFmtId="166" fontId="4" fillId="25" borderId="4" xfId="1" applyNumberFormat="1" applyFont="1" applyFill="1" applyBorder="1" applyAlignment="1" applyProtection="1">
      <protection locked="0"/>
    </xf>
    <xf numFmtId="0" fontId="4" fillId="0" borderId="26" xfId="6" applyFont="1" applyFill="1" applyBorder="1" applyAlignment="1" applyProtection="1">
      <alignment horizontal="center" vertical="top" wrapText="1"/>
    </xf>
    <xf numFmtId="0" fontId="4" fillId="0" borderId="3" xfId="6" applyFont="1" applyFill="1" applyBorder="1" applyAlignment="1" applyProtection="1">
      <alignment horizontal="center" vertical="top" wrapText="1"/>
    </xf>
    <xf numFmtId="165" fontId="4" fillId="0" borderId="26" xfId="2" applyFont="1" applyBorder="1" applyAlignment="1" applyProtection="1">
      <alignment horizontal="left" vertical="top" wrapText="1"/>
    </xf>
    <xf numFmtId="165" fontId="4" fillId="0" borderId="3" xfId="2" applyFont="1" applyBorder="1" applyAlignment="1" applyProtection="1">
      <alignment horizontal="left" vertical="top" wrapText="1"/>
    </xf>
    <xf numFmtId="165" fontId="4" fillId="0" borderId="26" xfId="2" applyFont="1" applyFill="1" applyBorder="1" applyAlignment="1" applyProtection="1">
      <alignment horizontal="left" vertical="top" wrapText="1"/>
    </xf>
    <xf numFmtId="165" fontId="4" fillId="0" borderId="3" xfId="2" applyFont="1" applyFill="1" applyBorder="1" applyAlignment="1" applyProtection="1">
      <alignment horizontal="left" vertical="top" wrapText="1"/>
    </xf>
    <xf numFmtId="167" fontId="4" fillId="0" borderId="26" xfId="4" applyNumberFormat="1" applyFont="1" applyBorder="1" applyAlignment="1" applyProtection="1">
      <alignment horizontal="center" vertical="top" wrapText="1"/>
    </xf>
    <xf numFmtId="167" fontId="4" fillId="0" borderId="3" xfId="4" applyNumberFormat="1" applyFont="1" applyBorder="1" applyAlignment="1" applyProtection="1">
      <alignment horizontal="center" vertical="top" wrapText="1"/>
    </xf>
    <xf numFmtId="167" fontId="4" fillId="0" borderId="26" xfId="4" applyNumberFormat="1" applyFont="1" applyFill="1" applyBorder="1" applyAlignment="1" applyProtection="1">
      <alignment horizontal="center" vertical="top" wrapText="1"/>
    </xf>
    <xf numFmtId="167" fontId="4" fillId="0" borderId="3" xfId="4" applyNumberFormat="1" applyFont="1" applyFill="1" applyBorder="1" applyAlignment="1" applyProtection="1">
      <alignment horizontal="center" vertical="top" wrapText="1"/>
    </xf>
    <xf numFmtId="173" fontId="4" fillId="0" borderId="26" xfId="4" applyNumberFormat="1" applyFont="1" applyBorder="1" applyAlignment="1" applyProtection="1">
      <alignment horizontal="center" vertical="top"/>
    </xf>
    <xf numFmtId="173" fontId="4" fillId="0" borderId="3" xfId="4" applyNumberFormat="1" applyFont="1" applyBorder="1" applyAlignment="1" applyProtection="1">
      <alignment horizontal="center" vertical="top"/>
    </xf>
    <xf numFmtId="173" fontId="4" fillId="0" borderId="26" xfId="4" applyNumberFormat="1" applyFont="1" applyBorder="1" applyAlignment="1" applyProtection="1">
      <alignment horizontal="center" vertical="top" wrapText="1"/>
    </xf>
    <xf numFmtId="173" fontId="4" fillId="0" borderId="3" xfId="4" applyNumberFormat="1" applyFont="1" applyBorder="1" applyAlignment="1" applyProtection="1">
      <alignment horizontal="center" vertical="top" wrapText="1"/>
    </xf>
    <xf numFmtId="171" fontId="4" fillId="0" borderId="0" xfId="2" quotePrefix="1" applyNumberFormat="1" applyFont="1" applyFill="1" applyBorder="1" applyAlignment="1" applyProtection="1">
      <alignment horizontal="left" vertical="top" wrapText="1"/>
    </xf>
    <xf numFmtId="165" fontId="4" fillId="0" borderId="0" xfId="2" applyFont="1" applyBorder="1" applyAlignment="1" applyProtection="1">
      <alignment vertical="center" wrapText="1"/>
    </xf>
    <xf numFmtId="0" fontId="7" fillId="0" borderId="0" xfId="0" applyFont="1" applyFill="1" applyBorder="1" applyAlignment="1" applyProtection="1">
      <alignment horizontal="left" vertical="center" wrapText="1" readingOrder="1"/>
    </xf>
    <xf numFmtId="0" fontId="7" fillId="0" borderId="0" xfId="0" applyFont="1" applyFill="1" applyBorder="1" applyAlignment="1" applyProtection="1">
      <alignment horizontal="left" vertical="top" wrapText="1" readingOrder="1"/>
    </xf>
    <xf numFmtId="165" fontId="4" fillId="0" borderId="0" xfId="2" applyFont="1" applyBorder="1" applyAlignment="1" applyProtection="1">
      <alignment horizontal="left" vertical="top" wrapText="1"/>
    </xf>
    <xf numFmtId="1" fontId="4" fillId="0" borderId="0" xfId="6" applyNumberFormat="1" applyFont="1" applyBorder="1" applyAlignment="1" applyProtection="1">
      <alignment horizontal="left" vertical="top" wrapText="1"/>
    </xf>
    <xf numFmtId="166" fontId="4" fillId="0" borderId="26" xfId="1" applyNumberFormat="1" applyFont="1" applyBorder="1" applyAlignment="1" applyProtection="1">
      <alignment horizontal="center" vertical="top" wrapText="1"/>
    </xf>
    <xf numFmtId="166" fontId="4" fillId="0" borderId="3" xfId="1" applyNumberFormat="1" applyFont="1" applyBorder="1" applyAlignment="1" applyProtection="1">
      <alignment horizontal="center" vertical="top" wrapText="1"/>
    </xf>
    <xf numFmtId="172" fontId="4" fillId="0" borderId="26" xfId="1" applyNumberFormat="1" applyFont="1" applyBorder="1" applyAlignment="1" applyProtection="1">
      <alignment horizontal="center" vertical="top" wrapText="1"/>
    </xf>
    <xf numFmtId="172" fontId="4" fillId="0" borderId="3" xfId="1" applyNumberFormat="1" applyFont="1" applyBorder="1" applyAlignment="1" applyProtection="1">
      <alignment horizontal="center" vertical="top" wrapText="1"/>
    </xf>
    <xf numFmtId="43" fontId="4" fillId="0" borderId="26" xfId="1" applyFont="1" applyBorder="1" applyAlignment="1" applyProtection="1">
      <alignment horizontal="center" vertical="top" wrapText="1"/>
    </xf>
    <xf numFmtId="43" fontId="4" fillId="0" borderId="3" xfId="1" applyFont="1" applyBorder="1" applyAlignment="1" applyProtection="1">
      <alignment horizontal="center" vertical="top" wrapText="1"/>
    </xf>
    <xf numFmtId="9" fontId="4" fillId="0" borderId="26" xfId="13" applyNumberFormat="1" applyFont="1" applyBorder="1" applyAlignment="1" applyProtection="1">
      <alignment horizontal="center" vertical="top" wrapText="1"/>
    </xf>
    <xf numFmtId="9" fontId="4" fillId="0" borderId="3" xfId="13" applyNumberFormat="1" applyFont="1" applyBorder="1" applyAlignment="1" applyProtection="1">
      <alignment horizontal="center" vertical="top" wrapText="1"/>
    </xf>
    <xf numFmtId="10" fontId="4" fillId="0" borderId="26" xfId="13" applyNumberFormat="1" applyFont="1" applyBorder="1" applyAlignment="1" applyProtection="1">
      <alignment horizontal="center" vertical="top" wrapText="1"/>
    </xf>
    <xf numFmtId="10" fontId="4" fillId="0" borderId="3" xfId="13" applyNumberFormat="1" applyFont="1" applyBorder="1" applyAlignment="1" applyProtection="1">
      <alignment horizontal="center" vertical="top" wrapText="1"/>
    </xf>
    <xf numFmtId="0" fontId="4" fillId="9" borderId="0" xfId="6" applyFont="1" applyFill="1" applyBorder="1" applyAlignment="1" applyProtection="1">
      <alignment horizontal="left" vertical="center" wrapText="1"/>
    </xf>
    <xf numFmtId="171" fontId="4" fillId="0" borderId="0" xfId="2" applyNumberFormat="1" applyFont="1" applyBorder="1" applyAlignment="1" applyProtection="1">
      <alignment horizontal="left" vertical="center" wrapText="1"/>
    </xf>
    <xf numFmtId="0" fontId="4" fillId="0" borderId="0" xfId="0" applyFont="1" applyAlignment="1" applyProtection="1">
      <alignment horizontal="left" vertical="center" wrapText="1"/>
    </xf>
    <xf numFmtId="171" fontId="4" fillId="0" borderId="0" xfId="2" applyNumberFormat="1" applyFont="1" applyBorder="1" applyAlignment="1" applyProtection="1">
      <alignment horizontal="left" vertical="top"/>
    </xf>
    <xf numFmtId="0" fontId="4" fillId="0" borderId="0" xfId="0" applyFont="1" applyAlignment="1" applyProtection="1">
      <alignment horizontal="left" vertical="top" wrapText="1"/>
    </xf>
    <xf numFmtId="9" fontId="4" fillId="0" borderId="0" xfId="0" applyNumberFormat="1" applyFont="1" applyAlignment="1" applyProtection="1">
      <alignment horizontal="left" vertical="center" wrapText="1"/>
    </xf>
    <xf numFmtId="165" fontId="3" fillId="26" borderId="2" xfId="2" applyFont="1" applyFill="1" applyBorder="1" applyAlignment="1" applyProtection="1">
      <alignment horizontal="center" wrapText="1"/>
    </xf>
    <xf numFmtId="0" fontId="4" fillId="0" borderId="2" xfId="6" applyFont="1" applyFill="1" applyBorder="1" applyAlignment="1" applyProtection="1">
      <alignment horizontal="center" vertical="top" wrapText="1"/>
    </xf>
    <xf numFmtId="165" fontId="3" fillId="26" borderId="27" xfId="2" applyFont="1" applyFill="1" applyBorder="1" applyAlignment="1" applyProtection="1">
      <alignment horizontal="center" wrapText="1"/>
    </xf>
    <xf numFmtId="165" fontId="3" fillId="26" borderId="28" xfId="2" applyFont="1" applyFill="1" applyBorder="1" applyAlignment="1" applyProtection="1">
      <alignment horizontal="center" wrapText="1"/>
    </xf>
    <xf numFmtId="165" fontId="3" fillId="26" borderId="34" xfId="2" applyFont="1" applyFill="1" applyBorder="1" applyAlignment="1" applyProtection="1">
      <alignment horizontal="center" wrapText="1"/>
    </xf>
    <xf numFmtId="171" fontId="3" fillId="16" borderId="36" xfId="2" applyNumberFormat="1" applyFont="1" applyFill="1" applyBorder="1" applyAlignment="1" applyProtection="1">
      <alignment horizontal="center" wrapText="1"/>
    </xf>
    <xf numFmtId="171" fontId="3" fillId="16" borderId="37" xfId="2" applyNumberFormat="1" applyFont="1" applyFill="1" applyBorder="1" applyAlignment="1" applyProtection="1">
      <alignment horizontal="center" wrapText="1"/>
    </xf>
    <xf numFmtId="171" fontId="3" fillId="16" borderId="38" xfId="2" applyNumberFormat="1" applyFont="1" applyFill="1" applyBorder="1" applyAlignment="1" applyProtection="1">
      <alignment horizontal="center" wrapText="1"/>
    </xf>
    <xf numFmtId="165" fontId="3" fillId="24" borderId="2" xfId="2" applyFont="1" applyFill="1" applyBorder="1" applyAlignment="1" applyProtection="1">
      <alignment horizontal="center" wrapText="1"/>
    </xf>
    <xf numFmtId="171" fontId="3" fillId="22" borderId="24" xfId="2" applyNumberFormat="1" applyFont="1" applyFill="1" applyBorder="1" applyAlignment="1" applyProtection="1">
      <alignment horizontal="center" wrapText="1"/>
    </xf>
    <xf numFmtId="171" fontId="3" fillId="22" borderId="25" xfId="2" applyNumberFormat="1" applyFont="1" applyFill="1" applyBorder="1" applyAlignment="1" applyProtection="1">
      <alignment horizontal="center" wrapText="1"/>
    </xf>
    <xf numFmtId="171" fontId="3" fillId="22" borderId="3" xfId="2" applyNumberFormat="1" applyFont="1" applyFill="1" applyBorder="1" applyAlignment="1" applyProtection="1">
      <alignment horizontal="center" wrapText="1"/>
    </xf>
    <xf numFmtId="171" fontId="4" fillId="0" borderId="2" xfId="12" applyNumberFormat="1" applyFont="1" applyBorder="1" applyAlignment="1" applyProtection="1">
      <alignment horizontal="left" vertical="top" wrapText="1"/>
    </xf>
    <xf numFmtId="171" fontId="3" fillId="16" borderId="43" xfId="2" applyNumberFormat="1" applyFont="1" applyFill="1" applyBorder="1" applyAlignment="1" applyProtection="1">
      <alignment horizontal="center" wrapText="1"/>
    </xf>
    <xf numFmtId="171" fontId="3" fillId="16" borderId="21" xfId="2" applyNumberFormat="1" applyFont="1" applyFill="1" applyBorder="1" applyAlignment="1" applyProtection="1">
      <alignment horizontal="center" wrapText="1"/>
    </xf>
    <xf numFmtId="171" fontId="3" fillId="16" borderId="44" xfId="2" applyNumberFormat="1" applyFont="1" applyFill="1" applyBorder="1" applyAlignment="1" applyProtection="1">
      <alignment horizontal="center" wrapText="1"/>
    </xf>
    <xf numFmtId="171" fontId="3" fillId="16" borderId="40" xfId="2" applyNumberFormat="1" applyFont="1" applyFill="1" applyBorder="1" applyAlignment="1" applyProtection="1">
      <alignment horizontal="center" wrapText="1"/>
    </xf>
    <xf numFmtId="171" fontId="3" fillId="16" borderId="46" xfId="2" applyNumberFormat="1" applyFont="1" applyFill="1" applyBorder="1" applyAlignment="1" applyProtection="1">
      <alignment horizontal="center" wrapText="1"/>
    </xf>
    <xf numFmtId="171" fontId="3" fillId="16" borderId="41" xfId="2" applyNumberFormat="1" applyFont="1" applyFill="1" applyBorder="1" applyAlignment="1" applyProtection="1">
      <alignment horizontal="center" wrapText="1"/>
    </xf>
    <xf numFmtId="0" fontId="4" fillId="0" borderId="25" xfId="6" applyFont="1" applyFill="1" applyBorder="1" applyAlignment="1" applyProtection="1">
      <alignment horizontal="center" vertical="top" wrapText="1"/>
    </xf>
    <xf numFmtId="171" fontId="4" fillId="0" borderId="0" xfId="0" applyNumberFormat="1" applyFont="1" applyAlignment="1" applyProtection="1">
      <alignment horizontal="left" wrapText="1"/>
    </xf>
    <xf numFmtId="1" fontId="3" fillId="15" borderId="31" xfId="2" applyNumberFormat="1" applyFont="1" applyFill="1" applyBorder="1" applyAlignment="1" applyProtection="1">
      <alignment horizontal="center" vertical="center" wrapText="1"/>
    </xf>
    <xf numFmtId="1" fontId="3" fillId="15" borderId="32" xfId="2" applyNumberFormat="1" applyFont="1" applyFill="1" applyBorder="1" applyAlignment="1" applyProtection="1">
      <alignment horizontal="center" vertical="center" wrapText="1"/>
    </xf>
    <xf numFmtId="1" fontId="3" fillId="15" borderId="33" xfId="2" applyNumberFormat="1" applyFont="1" applyFill="1" applyBorder="1" applyAlignment="1" applyProtection="1">
      <alignment horizontal="center" vertical="center" wrapText="1"/>
    </xf>
    <xf numFmtId="171" fontId="3" fillId="16" borderId="47" xfId="2" applyNumberFormat="1" applyFont="1" applyFill="1" applyBorder="1" applyAlignment="1" applyProtection="1">
      <alignment horizontal="center" wrapText="1"/>
    </xf>
    <xf numFmtId="171" fontId="3" fillId="16" borderId="48" xfId="2" applyNumberFormat="1" applyFont="1" applyFill="1" applyBorder="1" applyAlignment="1" applyProtection="1">
      <alignment horizontal="center" wrapText="1"/>
    </xf>
    <xf numFmtId="171" fontId="3" fillId="16" borderId="49" xfId="2" applyNumberFormat="1" applyFont="1" applyFill="1" applyBorder="1" applyAlignment="1" applyProtection="1">
      <alignment horizontal="center" wrapText="1"/>
    </xf>
    <xf numFmtId="165" fontId="3" fillId="10" borderId="30" xfId="2" applyFont="1" applyFill="1" applyBorder="1" applyAlignment="1" applyProtection="1">
      <alignment horizontal="center" wrapText="1"/>
    </xf>
    <xf numFmtId="165" fontId="3" fillId="10" borderId="13" xfId="2" applyFont="1" applyFill="1" applyBorder="1" applyAlignment="1" applyProtection="1">
      <alignment horizontal="center" wrapText="1"/>
    </xf>
    <xf numFmtId="165" fontId="3" fillId="10" borderId="29" xfId="2" applyFont="1" applyFill="1" applyBorder="1" applyAlignment="1" applyProtection="1">
      <alignment horizontal="center" wrapText="1"/>
    </xf>
    <xf numFmtId="1" fontId="3" fillId="15" borderId="31" xfId="2" applyNumberFormat="1" applyFont="1" applyFill="1" applyBorder="1" applyAlignment="1" applyProtection="1">
      <alignment horizontal="center" wrapText="1"/>
    </xf>
    <xf numFmtId="1" fontId="3" fillId="15" borderId="32" xfId="2" applyNumberFormat="1" applyFont="1" applyFill="1" applyBorder="1" applyAlignment="1" applyProtection="1">
      <alignment horizontal="center" wrapText="1"/>
    </xf>
    <xf numFmtId="1" fontId="3" fillId="15" borderId="33" xfId="2" applyNumberFormat="1" applyFont="1" applyFill="1" applyBorder="1" applyAlignment="1" applyProtection="1">
      <alignment horizontal="center" wrapText="1"/>
    </xf>
    <xf numFmtId="1" fontId="3" fillId="15" borderId="24" xfId="2" applyNumberFormat="1" applyFont="1" applyFill="1" applyBorder="1" applyAlignment="1" applyProtection="1">
      <alignment horizontal="center" wrapText="1"/>
    </xf>
    <xf numFmtId="1" fontId="3" fillId="15" borderId="25" xfId="2" applyNumberFormat="1" applyFont="1" applyFill="1" applyBorder="1" applyAlignment="1" applyProtection="1">
      <alignment horizontal="center" wrapText="1"/>
    </xf>
    <xf numFmtId="1" fontId="3" fillId="15" borderId="3" xfId="2" applyNumberFormat="1" applyFont="1" applyFill="1" applyBorder="1" applyAlignment="1" applyProtection="1">
      <alignment horizontal="center" wrapText="1"/>
    </xf>
    <xf numFmtId="164" fontId="3" fillId="15" borderId="54" xfId="2" applyNumberFormat="1" applyFont="1" applyFill="1" applyBorder="1" applyAlignment="1" applyProtection="1">
      <alignment horizontal="center" vertical="center" wrapText="1"/>
    </xf>
    <xf numFmtId="164" fontId="3" fillId="15" borderId="13" xfId="2" applyNumberFormat="1" applyFont="1" applyFill="1" applyBorder="1" applyAlignment="1" applyProtection="1">
      <alignment horizontal="center" vertical="center" wrapText="1"/>
    </xf>
    <xf numFmtId="171" fontId="3" fillId="31" borderId="40" xfId="2" applyNumberFormat="1" applyFont="1" applyFill="1" applyBorder="1" applyAlignment="1" applyProtection="1">
      <alignment horizontal="center" wrapText="1"/>
    </xf>
    <xf numFmtId="171" fontId="3" fillId="31" borderId="46" xfId="2" applyNumberFormat="1" applyFont="1" applyFill="1" applyBorder="1" applyAlignment="1" applyProtection="1">
      <alignment horizontal="center" wrapText="1"/>
    </xf>
    <xf numFmtId="171" fontId="3" fillId="31" borderId="41" xfId="2" applyNumberFormat="1" applyFont="1" applyFill="1" applyBorder="1" applyAlignment="1" applyProtection="1">
      <alignment horizontal="center" wrapText="1"/>
    </xf>
    <xf numFmtId="1" fontId="3" fillId="14" borderId="1" xfId="2" applyNumberFormat="1" applyFont="1" applyFill="1" applyBorder="1" applyAlignment="1" applyProtection="1">
      <alignment horizontal="center" wrapText="1"/>
    </xf>
    <xf numFmtId="165" fontId="4" fillId="0" borderId="2" xfId="2" applyFont="1" applyBorder="1" applyAlignment="1" applyProtection="1">
      <alignment horizontal="left" vertical="top" wrapText="1"/>
    </xf>
    <xf numFmtId="171" fontId="3" fillId="14" borderId="1" xfId="2" applyNumberFormat="1" applyFont="1" applyFill="1" applyBorder="1" applyAlignment="1" applyProtection="1">
      <alignment horizontal="center" wrapText="1"/>
    </xf>
    <xf numFmtId="171" fontId="3" fillId="14" borderId="2" xfId="2" applyNumberFormat="1" applyFont="1" applyFill="1" applyBorder="1" applyAlignment="1" applyProtection="1">
      <alignment horizontal="center" wrapText="1"/>
    </xf>
    <xf numFmtId="171" fontId="3" fillId="19" borderId="40" xfId="2" applyNumberFormat="1" applyFont="1" applyFill="1" applyBorder="1" applyAlignment="1" applyProtection="1">
      <alignment horizontal="center" wrapText="1"/>
    </xf>
    <xf numFmtId="171" fontId="3" fillId="19" borderId="41" xfId="2" applyNumberFormat="1" applyFont="1" applyFill="1" applyBorder="1" applyAlignment="1" applyProtection="1">
      <alignment horizontal="center" wrapText="1"/>
    </xf>
    <xf numFmtId="171" fontId="3" fillId="19" borderId="30" xfId="2" applyNumberFormat="1" applyFont="1" applyFill="1" applyBorder="1" applyAlignment="1" applyProtection="1">
      <alignment horizontal="center" wrapText="1"/>
    </xf>
    <xf numFmtId="171" fontId="3" fillId="19" borderId="29" xfId="2" applyNumberFormat="1" applyFont="1" applyFill="1" applyBorder="1" applyAlignment="1" applyProtection="1">
      <alignment horizontal="center" wrapText="1"/>
    </xf>
    <xf numFmtId="165" fontId="3" fillId="10" borderId="1" xfId="2" applyFont="1" applyFill="1" applyBorder="1" applyAlignment="1" applyProtection="1">
      <alignment horizontal="center" wrapText="1"/>
    </xf>
    <xf numFmtId="165" fontId="3" fillId="10" borderId="2" xfId="2" applyFont="1" applyFill="1" applyBorder="1" applyAlignment="1" applyProtection="1">
      <alignment horizontal="center" wrapText="1"/>
    </xf>
    <xf numFmtId="165" fontId="3" fillId="18" borderId="1" xfId="2" applyFont="1" applyFill="1" applyBorder="1" applyAlignment="1" applyProtection="1">
      <alignment horizontal="center"/>
    </xf>
    <xf numFmtId="165" fontId="3" fillId="18" borderId="19" xfId="2" applyFont="1" applyFill="1" applyBorder="1" applyAlignment="1" applyProtection="1">
      <alignment horizontal="center"/>
    </xf>
    <xf numFmtId="165" fontId="3" fillId="18" borderId="2" xfId="2" applyFont="1" applyFill="1" applyBorder="1" applyAlignment="1" applyProtection="1">
      <alignment horizontal="center"/>
    </xf>
    <xf numFmtId="165" fontId="3" fillId="18" borderId="20" xfId="2" applyFont="1" applyFill="1" applyBorder="1" applyAlignment="1" applyProtection="1">
      <alignment horizontal="center"/>
    </xf>
    <xf numFmtId="165" fontId="4" fillId="0" borderId="2" xfId="2" applyFont="1" applyFill="1" applyBorder="1" applyAlignment="1" applyProtection="1">
      <alignment horizontal="center" vertical="top" wrapText="1"/>
    </xf>
    <xf numFmtId="171" fontId="3" fillId="22" borderId="1" xfId="2" applyNumberFormat="1" applyFont="1" applyFill="1" applyBorder="1" applyAlignment="1" applyProtection="1">
      <alignment horizontal="center" wrapText="1"/>
    </xf>
    <xf numFmtId="171" fontId="3" fillId="22" borderId="2" xfId="2" applyNumberFormat="1" applyFont="1" applyFill="1" applyBorder="1" applyAlignment="1" applyProtection="1">
      <alignment horizontal="center" wrapText="1"/>
    </xf>
    <xf numFmtId="165" fontId="3" fillId="14" borderId="1" xfId="2" applyFont="1" applyFill="1" applyBorder="1" applyAlignment="1" applyProtection="1">
      <alignment horizontal="center" wrapText="1"/>
    </xf>
    <xf numFmtId="165" fontId="3" fillId="14" borderId="2" xfId="2" applyFont="1" applyFill="1" applyBorder="1" applyAlignment="1" applyProtection="1">
      <alignment horizontal="center" wrapText="1"/>
    </xf>
    <xf numFmtId="165" fontId="4" fillId="0" borderId="2" xfId="2" applyFont="1" applyFill="1" applyBorder="1" applyAlignment="1" applyProtection="1">
      <alignment horizontal="left" vertical="top" wrapText="1"/>
    </xf>
    <xf numFmtId="171" fontId="4" fillId="0" borderId="0" xfId="2" applyNumberFormat="1" applyFont="1" applyFill="1" applyBorder="1" applyAlignment="1" applyProtection="1">
      <alignment horizontal="center" wrapText="1"/>
    </xf>
    <xf numFmtId="171" fontId="4" fillId="0" borderId="12" xfId="2" applyNumberFormat="1" applyFont="1" applyFill="1" applyBorder="1" applyAlignment="1" applyProtection="1">
      <alignment horizontal="center" wrapText="1"/>
    </xf>
    <xf numFmtId="165" fontId="3" fillId="10" borderId="24" xfId="2" applyFont="1" applyFill="1" applyBorder="1" applyAlignment="1" applyProtection="1">
      <alignment horizontal="center" wrapText="1"/>
    </xf>
    <xf numFmtId="165" fontId="3" fillId="10" borderId="25" xfId="2" applyFont="1" applyFill="1" applyBorder="1" applyAlignment="1" applyProtection="1">
      <alignment horizontal="center" wrapText="1"/>
    </xf>
    <xf numFmtId="165" fontId="3" fillId="10" borderId="3" xfId="2" applyFont="1" applyFill="1" applyBorder="1" applyAlignment="1" applyProtection="1">
      <alignment horizontal="center" wrapText="1"/>
    </xf>
    <xf numFmtId="165" fontId="3" fillId="0" borderId="26" xfId="2" applyFont="1" applyFill="1" applyBorder="1" applyAlignment="1" applyProtection="1">
      <alignment horizontal="center" vertical="center" wrapText="1"/>
    </xf>
    <xf numFmtId="165" fontId="3" fillId="0" borderId="25" xfId="2" applyFont="1" applyFill="1" applyBorder="1" applyAlignment="1" applyProtection="1">
      <alignment horizontal="center" vertical="center" wrapText="1"/>
    </xf>
    <xf numFmtId="165" fontId="3" fillId="0" borderId="3" xfId="2" applyFont="1" applyFill="1" applyBorder="1" applyAlignment="1" applyProtection="1">
      <alignment horizontal="center" vertical="center" wrapText="1"/>
    </xf>
    <xf numFmtId="165" fontId="4" fillId="0" borderId="25" xfId="2" applyFont="1" applyFill="1" applyBorder="1" applyAlignment="1" applyProtection="1">
      <alignment horizontal="left" vertical="top" wrapText="1"/>
    </xf>
    <xf numFmtId="165" fontId="4" fillId="0" borderId="2" xfId="2" applyFont="1" applyBorder="1" applyAlignment="1" applyProtection="1">
      <alignment horizontal="center" vertical="top" wrapText="1"/>
    </xf>
    <xf numFmtId="1" fontId="3" fillId="0" borderId="13" xfId="0" applyNumberFormat="1" applyFont="1" applyBorder="1" applyAlignment="1" applyProtection="1">
      <alignment horizontal="center"/>
    </xf>
    <xf numFmtId="165" fontId="4" fillId="0" borderId="25" xfId="2" applyFont="1" applyFill="1" applyBorder="1" applyAlignment="1" applyProtection="1">
      <alignment horizontal="center" wrapText="1"/>
    </xf>
    <xf numFmtId="165" fontId="4" fillId="0" borderId="3" xfId="2" applyFont="1" applyFill="1" applyBorder="1" applyAlignment="1" applyProtection="1">
      <alignment horizontal="center" wrapText="1"/>
    </xf>
    <xf numFmtId="3" fontId="4" fillId="0" borderId="26" xfId="11" applyNumberFormat="1" applyFont="1" applyBorder="1" applyAlignment="1" applyProtection="1">
      <alignment horizontal="center" vertical="top" wrapText="1"/>
    </xf>
    <xf numFmtId="3" fontId="4" fillId="0" borderId="25" xfId="11" applyNumberFormat="1" applyFont="1" applyBorder="1" applyAlignment="1" applyProtection="1">
      <alignment horizontal="center" vertical="top" wrapText="1"/>
    </xf>
    <xf numFmtId="1" fontId="3" fillId="0" borderId="0" xfId="0" applyNumberFormat="1" applyFont="1" applyBorder="1" applyAlignment="1" applyProtection="1">
      <alignment horizontal="center"/>
    </xf>
    <xf numFmtId="1" fontId="3" fillId="0" borderId="37" xfId="0" applyNumberFormat="1" applyFont="1" applyBorder="1" applyAlignment="1" applyProtection="1">
      <alignment horizontal="center"/>
    </xf>
    <xf numFmtId="1" fontId="3" fillId="0" borderId="10" xfId="6" applyNumberFormat="1" applyFont="1" applyBorder="1" applyAlignment="1" applyProtection="1">
      <alignment horizontal="center" wrapText="1"/>
    </xf>
    <xf numFmtId="1" fontId="3" fillId="0" borderId="13" xfId="6" applyNumberFormat="1" applyFont="1" applyBorder="1" applyAlignment="1" applyProtection="1">
      <alignment horizontal="center" wrapText="1"/>
    </xf>
    <xf numFmtId="0" fontId="4" fillId="0" borderId="0" xfId="0" applyFont="1" applyAlignment="1" applyProtection="1">
      <alignment horizontal="left"/>
    </xf>
    <xf numFmtId="165" fontId="3" fillId="17" borderId="1" xfId="2" applyFont="1" applyFill="1" applyBorder="1" applyAlignment="1" applyProtection="1">
      <alignment horizontal="center" wrapText="1"/>
    </xf>
    <xf numFmtId="165" fontId="3" fillId="17" borderId="2" xfId="2" applyFont="1" applyFill="1" applyBorder="1" applyAlignment="1" applyProtection="1">
      <alignment horizontal="center" wrapText="1"/>
    </xf>
    <xf numFmtId="1" fontId="3" fillId="15" borderId="1" xfId="2" applyNumberFormat="1" applyFont="1" applyFill="1" applyBorder="1" applyAlignment="1" applyProtection="1">
      <alignment horizontal="center" wrapText="1"/>
    </xf>
    <xf numFmtId="1" fontId="3" fillId="15" borderId="2" xfId="2" applyNumberFormat="1" applyFont="1" applyFill="1" applyBorder="1" applyAlignment="1" applyProtection="1">
      <alignment horizontal="center" wrapText="1"/>
    </xf>
    <xf numFmtId="0" fontId="4" fillId="0" borderId="0" xfId="0" applyFont="1" applyAlignment="1" applyProtection="1">
      <alignment horizontal="left" vertical="top"/>
    </xf>
    <xf numFmtId="165" fontId="3" fillId="10" borderId="31" xfId="2" applyFont="1" applyFill="1" applyBorder="1" applyAlignment="1" applyProtection="1">
      <alignment horizontal="center" wrapText="1"/>
    </xf>
    <xf numFmtId="165" fontId="3" fillId="10" borderId="32" xfId="2" applyFont="1" applyFill="1" applyBorder="1" applyAlignment="1" applyProtection="1">
      <alignment horizontal="center" wrapText="1"/>
    </xf>
    <xf numFmtId="9" fontId="3" fillId="20" borderId="24" xfId="2" applyNumberFormat="1" applyFont="1" applyFill="1" applyBorder="1" applyAlignment="1" applyProtection="1">
      <alignment horizontal="center" wrapText="1"/>
    </xf>
    <xf numFmtId="9" fontId="3" fillId="20" borderId="25" xfId="2" applyNumberFormat="1" applyFont="1" applyFill="1" applyBorder="1" applyAlignment="1" applyProtection="1">
      <alignment horizontal="center" wrapText="1"/>
    </xf>
    <xf numFmtId="9" fontId="3" fillId="20" borderId="3" xfId="2" applyNumberFormat="1" applyFont="1" applyFill="1" applyBorder="1" applyAlignment="1" applyProtection="1">
      <alignment horizontal="center" wrapText="1"/>
    </xf>
    <xf numFmtId="1" fontId="3" fillId="14" borderId="2" xfId="2" applyNumberFormat="1" applyFont="1" applyFill="1" applyBorder="1" applyAlignment="1" applyProtection="1">
      <alignment horizontal="center" wrapText="1"/>
    </xf>
    <xf numFmtId="9" fontId="3" fillId="20" borderId="1" xfId="2" applyNumberFormat="1" applyFont="1" applyFill="1" applyBorder="1" applyAlignment="1" applyProtection="1">
      <alignment horizontal="center" wrapText="1"/>
    </xf>
    <xf numFmtId="9" fontId="3" fillId="20" borderId="2" xfId="2" applyNumberFormat="1" applyFont="1" applyFill="1" applyBorder="1" applyAlignment="1" applyProtection="1">
      <alignment horizontal="center" wrapText="1"/>
    </xf>
    <xf numFmtId="0" fontId="3" fillId="12" borderId="17" xfId="6" applyFont="1" applyFill="1" applyBorder="1" applyAlignment="1" applyProtection="1">
      <alignment horizontal="center" vertical="center" textRotation="90" wrapText="1"/>
    </xf>
    <xf numFmtId="171" fontId="4" fillId="0" borderId="0" xfId="2" quotePrefix="1" applyNumberFormat="1" applyFont="1" applyBorder="1" applyAlignment="1" applyProtection="1">
      <alignment horizontal="left" vertical="top" wrapText="1"/>
    </xf>
    <xf numFmtId="165" fontId="3" fillId="4" borderId="17" xfId="2" applyFont="1" applyFill="1" applyBorder="1" applyAlignment="1" applyProtection="1">
      <alignment horizontal="center" vertical="center" textRotation="90"/>
    </xf>
    <xf numFmtId="37" fontId="4" fillId="0" borderId="26" xfId="1" applyNumberFormat="1" applyFont="1" applyBorder="1" applyAlignment="1" applyProtection="1">
      <alignment horizontal="center" vertical="top" wrapText="1"/>
    </xf>
    <xf numFmtId="37" fontId="4" fillId="0" borderId="3" xfId="1" applyNumberFormat="1" applyFont="1" applyBorder="1" applyAlignment="1" applyProtection="1">
      <alignment horizontal="center" vertical="top" wrapText="1"/>
    </xf>
    <xf numFmtId="165" fontId="3" fillId="7" borderId="26" xfId="2" applyFont="1" applyFill="1" applyBorder="1" applyAlignment="1" applyProtection="1">
      <alignment horizontal="center" vertical="center" wrapText="1"/>
    </xf>
    <xf numFmtId="165" fontId="3" fillId="7" borderId="3" xfId="2" applyFont="1" applyFill="1" applyBorder="1" applyAlignment="1" applyProtection="1">
      <alignment horizontal="center" vertical="center" wrapText="1"/>
    </xf>
    <xf numFmtId="165" fontId="4" fillId="0" borderId="26" xfId="2" applyFont="1" applyBorder="1" applyAlignment="1" applyProtection="1">
      <alignment horizontal="center" vertical="top" wrapText="1"/>
    </xf>
    <xf numFmtId="165" fontId="4" fillId="0" borderId="3" xfId="2" applyFont="1" applyBorder="1" applyAlignment="1" applyProtection="1">
      <alignment horizontal="center" vertical="top" wrapText="1"/>
    </xf>
    <xf numFmtId="165" fontId="4" fillId="0" borderId="26" xfId="2" applyFont="1" applyFill="1" applyBorder="1" applyAlignment="1" applyProtection="1">
      <alignment horizontal="center" vertical="top" wrapText="1"/>
    </xf>
    <xf numFmtId="165" fontId="4" fillId="0" borderId="3" xfId="2" applyFont="1" applyFill="1" applyBorder="1" applyAlignment="1" applyProtection="1">
      <alignment horizontal="center" vertical="top" wrapText="1"/>
    </xf>
    <xf numFmtId="3" fontId="4" fillId="0" borderId="3" xfId="11" applyNumberFormat="1" applyFont="1" applyBorder="1" applyAlignment="1" applyProtection="1">
      <alignment horizontal="center" vertical="top" wrapText="1"/>
    </xf>
    <xf numFmtId="165" fontId="3" fillId="8" borderId="2" xfId="2" applyFont="1" applyFill="1" applyBorder="1" applyAlignment="1" applyProtection="1">
      <alignment horizontal="left" vertical="center" wrapText="1"/>
    </xf>
    <xf numFmtId="0" fontId="3" fillId="12" borderId="2" xfId="6" applyFont="1" applyFill="1" applyBorder="1" applyAlignment="1" applyProtection="1">
      <alignment horizontal="center" vertical="center" wrapText="1"/>
    </xf>
    <xf numFmtId="165" fontId="3" fillId="5" borderId="17" xfId="2" applyFont="1" applyFill="1" applyBorder="1" applyAlignment="1" applyProtection="1">
      <alignment horizontal="center" vertical="center" textRotation="90"/>
    </xf>
    <xf numFmtId="165" fontId="3" fillId="6" borderId="17" xfId="2" applyFont="1" applyFill="1" applyBorder="1" applyAlignment="1" applyProtection="1">
      <alignment horizontal="center" vertical="center" textRotation="90"/>
    </xf>
    <xf numFmtId="165" fontId="3" fillId="3" borderId="45" xfId="2" applyFont="1" applyFill="1" applyBorder="1" applyAlignment="1" applyProtection="1">
      <alignment horizontal="center" vertical="center" textRotation="90"/>
    </xf>
    <xf numFmtId="165" fontId="3" fillId="3" borderId="15" xfId="2" applyFont="1" applyFill="1" applyBorder="1" applyAlignment="1" applyProtection="1">
      <alignment horizontal="center" vertical="center" textRotation="90"/>
    </xf>
    <xf numFmtId="165" fontId="3" fillId="3" borderId="16" xfId="2" applyFont="1" applyFill="1" applyBorder="1" applyAlignment="1" applyProtection="1">
      <alignment horizontal="center" vertical="center" textRotation="90"/>
    </xf>
    <xf numFmtId="165" fontId="3" fillId="7" borderId="2" xfId="2" applyFont="1" applyFill="1" applyBorder="1" applyAlignment="1" applyProtection="1">
      <alignment horizontal="left" vertical="center" wrapText="1"/>
    </xf>
    <xf numFmtId="165" fontId="3" fillId="7" borderId="15" xfId="2" applyFont="1" applyFill="1" applyBorder="1" applyAlignment="1" applyProtection="1">
      <alignment horizontal="center" vertical="center" textRotation="90"/>
    </xf>
    <xf numFmtId="165" fontId="3" fillId="7" borderId="51" xfId="2" applyFont="1" applyFill="1" applyBorder="1" applyAlignment="1" applyProtection="1">
      <alignment horizontal="center" vertical="center" textRotation="90"/>
    </xf>
    <xf numFmtId="165" fontId="3" fillId="7" borderId="50" xfId="2" applyFont="1" applyFill="1" applyBorder="1" applyAlignment="1" applyProtection="1">
      <alignment horizontal="center" vertical="center" textRotation="90"/>
    </xf>
    <xf numFmtId="165" fontId="3" fillId="7" borderId="45" xfId="2" applyFont="1" applyFill="1" applyBorder="1" applyAlignment="1" applyProtection="1">
      <alignment horizontal="center" vertical="center" textRotation="90"/>
    </xf>
    <xf numFmtId="0" fontId="3" fillId="21" borderId="17" xfId="6" applyFont="1" applyFill="1" applyBorder="1" applyAlignment="1" applyProtection="1">
      <alignment horizontal="center" vertical="center" textRotation="90" wrapText="1"/>
    </xf>
    <xf numFmtId="0" fontId="3" fillId="21" borderId="22" xfId="6" applyFont="1" applyFill="1" applyBorder="1" applyAlignment="1" applyProtection="1">
      <alignment horizontal="center" vertical="center" textRotation="90" wrapText="1"/>
    </xf>
    <xf numFmtId="165" fontId="4" fillId="10" borderId="14" xfId="2" applyFont="1" applyFill="1" applyBorder="1" applyAlignment="1" applyProtection="1">
      <alignment horizontal="center"/>
    </xf>
    <xf numFmtId="165" fontId="4" fillId="10" borderId="15" xfId="2" applyFont="1" applyFill="1" applyBorder="1" applyAlignment="1" applyProtection="1">
      <alignment horizontal="center"/>
    </xf>
    <xf numFmtId="165" fontId="4" fillId="10" borderId="16" xfId="2" applyFont="1" applyFill="1" applyBorder="1" applyAlignment="1" applyProtection="1">
      <alignment horizontal="center"/>
    </xf>
    <xf numFmtId="165" fontId="3" fillId="2" borderId="45" xfId="2" applyFont="1" applyFill="1" applyBorder="1" applyAlignment="1" applyProtection="1">
      <alignment horizontal="center" vertical="center" textRotation="90"/>
    </xf>
    <xf numFmtId="165" fontId="3" fillId="2" borderId="15" xfId="2" applyFont="1" applyFill="1" applyBorder="1" applyAlignment="1" applyProtection="1">
      <alignment horizontal="center" vertical="center" textRotation="90"/>
    </xf>
    <xf numFmtId="165" fontId="3" fillId="2" borderId="16" xfId="2" applyFont="1" applyFill="1" applyBorder="1" applyAlignment="1" applyProtection="1">
      <alignment horizontal="center" vertical="center" textRotation="90"/>
    </xf>
    <xf numFmtId="165" fontId="3" fillId="7" borderId="16" xfId="2" applyFont="1" applyFill="1" applyBorder="1" applyAlignment="1" applyProtection="1">
      <alignment horizontal="center" vertical="center" textRotation="90"/>
    </xf>
    <xf numFmtId="0" fontId="3" fillId="13" borderId="17" xfId="6" applyFont="1" applyFill="1" applyBorder="1" applyAlignment="1" applyProtection="1">
      <alignment horizontal="center" vertical="center" textRotation="90" wrapText="1"/>
    </xf>
    <xf numFmtId="1" fontId="3" fillId="0" borderId="13" xfId="2" applyNumberFormat="1" applyFont="1" applyFill="1" applyBorder="1" applyAlignment="1" applyProtection="1">
      <alignment horizontal="center" vertical="center" wrapText="1"/>
    </xf>
    <xf numFmtId="1" fontId="3" fillId="4" borderId="13" xfId="2" applyNumberFormat="1" applyFont="1" applyFill="1" applyBorder="1" applyAlignment="1" applyProtection="1">
      <alignment horizontal="center" vertical="center" wrapText="1"/>
    </xf>
    <xf numFmtId="0" fontId="3" fillId="9" borderId="25" xfId="0" applyFont="1" applyFill="1" applyBorder="1" applyAlignment="1" applyProtection="1">
      <alignment horizontal="center"/>
    </xf>
    <xf numFmtId="0" fontId="3" fillId="9" borderId="3" xfId="0" applyFont="1" applyFill="1" applyBorder="1" applyAlignment="1" applyProtection="1">
      <alignment horizontal="center"/>
    </xf>
    <xf numFmtId="0" fontId="7" fillId="0" borderId="0" xfId="0" applyFont="1" applyBorder="1" applyAlignment="1" applyProtection="1">
      <alignment horizontal="left" vertical="top" wrapText="1" readingOrder="1"/>
    </xf>
    <xf numFmtId="1" fontId="3" fillId="7" borderId="13" xfId="2" applyNumberFormat="1" applyFont="1" applyFill="1" applyBorder="1" applyAlignment="1" applyProtection="1">
      <alignment horizontal="center" vertical="center" wrapText="1"/>
    </xf>
    <xf numFmtId="1" fontId="3" fillId="0" borderId="0" xfId="6" applyNumberFormat="1" applyFont="1" applyBorder="1" applyAlignment="1" applyProtection="1">
      <alignment horizontal="center" wrapText="1"/>
    </xf>
    <xf numFmtId="171" fontId="3" fillId="0" borderId="11" xfId="0" applyNumberFormat="1" applyFont="1" applyBorder="1" applyAlignment="1" applyProtection="1">
      <alignment horizontal="center"/>
    </xf>
    <xf numFmtId="171" fontId="3" fillId="16" borderId="24" xfId="2" applyNumberFormat="1" applyFont="1" applyFill="1" applyBorder="1" applyAlignment="1" applyProtection="1">
      <alignment horizontal="center" wrapText="1"/>
    </xf>
    <xf numFmtId="171" fontId="3" fillId="16" borderId="3" xfId="2" applyNumberFormat="1" applyFont="1" applyFill="1" applyBorder="1" applyAlignment="1" applyProtection="1">
      <alignment horizontal="center" wrapText="1"/>
    </xf>
    <xf numFmtId="165" fontId="3" fillId="23" borderId="39" xfId="2" applyFont="1" applyFill="1" applyBorder="1" applyAlignment="1" applyProtection="1">
      <alignment horizontal="center" wrapText="1"/>
    </xf>
    <xf numFmtId="165" fontId="3" fillId="23" borderId="3" xfId="2" applyFont="1" applyFill="1" applyBorder="1" applyAlignment="1" applyProtection="1">
      <alignment horizontal="center" wrapText="1"/>
    </xf>
    <xf numFmtId="1" fontId="21" fillId="0" borderId="10" xfId="0" applyNumberFormat="1" applyFont="1" applyBorder="1" applyAlignment="1" applyProtection="1">
      <alignment horizontal="center" vertical="center"/>
    </xf>
    <xf numFmtId="1" fontId="3" fillId="0" borderId="11" xfId="0" applyNumberFormat="1" applyFont="1" applyBorder="1" applyAlignment="1" applyProtection="1">
      <alignment horizontal="center"/>
    </xf>
    <xf numFmtId="1" fontId="3" fillId="0" borderId="10" xfId="0" applyNumberFormat="1" applyFont="1" applyBorder="1" applyAlignment="1" applyProtection="1">
      <alignment horizontal="center" vertical="center" wrapText="1"/>
    </xf>
    <xf numFmtId="1" fontId="3" fillId="0" borderId="0" xfId="0" applyNumberFormat="1" applyFont="1" applyBorder="1" applyAlignment="1" applyProtection="1">
      <alignment horizontal="center" vertical="center" wrapText="1"/>
    </xf>
    <xf numFmtId="1" fontId="3" fillId="0" borderId="11" xfId="0" applyNumberFormat="1" applyFont="1" applyBorder="1" applyAlignment="1" applyProtection="1">
      <alignment horizontal="center" vertical="center" wrapText="1"/>
    </xf>
    <xf numFmtId="171" fontId="3" fillId="0" borderId="10" xfId="0" applyNumberFormat="1" applyFont="1" applyBorder="1" applyAlignment="1" applyProtection="1">
      <alignment horizontal="center" vertical="center" wrapText="1"/>
    </xf>
    <xf numFmtId="171" fontId="3" fillId="0" borderId="0" xfId="0" applyNumberFormat="1" applyFont="1" applyBorder="1" applyAlignment="1" applyProtection="1">
      <alignment horizontal="center" vertical="center" wrapText="1"/>
    </xf>
    <xf numFmtId="171" fontId="3" fillId="0" borderId="11" xfId="0" applyNumberFormat="1" applyFont="1" applyBorder="1" applyAlignment="1" applyProtection="1">
      <alignment horizontal="center" vertical="center" wrapText="1"/>
    </xf>
    <xf numFmtId="1" fontId="22" fillId="0" borderId="0" xfId="6" applyNumberFormat="1" applyFont="1" applyBorder="1" applyAlignment="1" applyProtection="1">
      <alignment horizontal="center" wrapText="1"/>
    </xf>
    <xf numFmtId="1" fontId="3" fillId="15" borderId="30" xfId="2" applyNumberFormat="1" applyFont="1" applyFill="1" applyBorder="1" applyAlignment="1" applyProtection="1">
      <alignment horizontal="center" vertical="center" wrapText="1"/>
    </xf>
    <xf numFmtId="1" fontId="3" fillId="15" borderId="42" xfId="2" applyNumberFormat="1" applyFont="1" applyFill="1" applyBorder="1" applyAlignment="1" applyProtection="1">
      <alignment horizontal="center" vertical="center" wrapText="1"/>
    </xf>
    <xf numFmtId="171" fontId="4" fillId="0" borderId="26" xfId="12" applyNumberFormat="1" applyFont="1" applyBorder="1" applyAlignment="1" applyProtection="1">
      <alignment horizontal="center" vertical="top" wrapText="1"/>
    </xf>
    <xf numFmtId="171" fontId="4" fillId="0" borderId="3" xfId="12" applyNumberFormat="1" applyFont="1" applyBorder="1" applyAlignment="1" applyProtection="1">
      <alignment horizontal="center" vertical="top" wrapText="1"/>
    </xf>
    <xf numFmtId="171" fontId="3" fillId="31" borderId="36" xfId="2" applyNumberFormat="1" applyFont="1" applyFill="1" applyBorder="1" applyAlignment="1" applyProtection="1">
      <alignment horizontal="center" wrapText="1"/>
    </xf>
    <xf numFmtId="171" fontId="3" fillId="31" borderId="37" xfId="2" applyNumberFormat="1" applyFont="1" applyFill="1" applyBorder="1" applyAlignment="1" applyProtection="1">
      <alignment horizontal="center" wrapText="1"/>
    </xf>
    <xf numFmtId="171" fontId="3" fillId="31" borderId="38" xfId="2" applyNumberFormat="1" applyFont="1" applyFill="1" applyBorder="1" applyAlignment="1" applyProtection="1">
      <alignment horizontal="center" wrapText="1"/>
    </xf>
    <xf numFmtId="171" fontId="3" fillId="31" borderId="43" xfId="2" applyNumberFormat="1" applyFont="1" applyFill="1" applyBorder="1" applyAlignment="1" applyProtection="1">
      <alignment horizontal="center" wrapText="1"/>
    </xf>
    <xf numFmtId="171" fontId="3" fillId="31" borderId="21" xfId="2" applyNumberFormat="1" applyFont="1" applyFill="1" applyBorder="1" applyAlignment="1" applyProtection="1">
      <alignment horizontal="center" wrapText="1"/>
    </xf>
    <xf numFmtId="171" fontId="3" fillId="31" borderId="44" xfId="2" applyNumberFormat="1" applyFont="1" applyFill="1" applyBorder="1" applyAlignment="1" applyProtection="1">
      <alignment horizontal="center" wrapText="1"/>
    </xf>
    <xf numFmtId="165" fontId="3" fillId="24" borderId="1" xfId="2" applyFont="1" applyFill="1" applyBorder="1" applyAlignment="1" applyProtection="1">
      <alignment horizontal="center" wrapText="1"/>
    </xf>
    <xf numFmtId="171" fontId="3" fillId="10" borderId="3" xfId="2" applyNumberFormat="1" applyFont="1" applyFill="1" applyBorder="1" applyAlignment="1" applyProtection="1">
      <alignment horizontal="center" wrapText="1"/>
    </xf>
    <xf numFmtId="171" fontId="3" fillId="10" borderId="66" xfId="2" applyNumberFormat="1" applyFont="1" applyFill="1" applyBorder="1" applyAlignment="1" applyProtection="1">
      <alignment horizontal="center" wrapText="1"/>
    </xf>
    <xf numFmtId="171" fontId="3" fillId="10" borderId="30" xfId="2" applyNumberFormat="1" applyFont="1" applyFill="1" applyBorder="1" applyAlignment="1" applyProtection="1">
      <alignment horizontal="center" wrapText="1"/>
    </xf>
    <xf numFmtId="171" fontId="3" fillId="10" borderId="13" xfId="2" applyNumberFormat="1" applyFont="1" applyFill="1" applyBorder="1" applyAlignment="1" applyProtection="1">
      <alignment horizontal="center" wrapText="1"/>
    </xf>
    <xf numFmtId="171" fontId="3" fillId="10" borderId="29" xfId="2" applyNumberFormat="1" applyFont="1" applyFill="1" applyBorder="1" applyAlignment="1" applyProtection="1">
      <alignment horizontal="center" wrapText="1"/>
    </xf>
    <xf numFmtId="1" fontId="3" fillId="0" borderId="0" xfId="2" applyNumberFormat="1" applyFont="1" applyFill="1" applyBorder="1" applyAlignment="1" applyProtection="1">
      <alignment horizontal="center" vertical="center" wrapText="1"/>
    </xf>
    <xf numFmtId="165" fontId="3" fillId="0" borderId="11" xfId="2" applyFont="1" applyFill="1" applyBorder="1" applyAlignment="1" applyProtection="1">
      <alignment horizontal="center" wrapText="1"/>
    </xf>
    <xf numFmtId="165" fontId="3" fillId="5" borderId="0" xfId="2" applyFont="1" applyFill="1" applyBorder="1" applyAlignment="1" applyProtection="1">
      <alignment horizontal="center" vertical="center" wrapText="1"/>
    </xf>
    <xf numFmtId="1" fontId="3" fillId="3" borderId="0" xfId="2" applyNumberFormat="1" applyFont="1" applyFill="1" applyBorder="1" applyAlignment="1" applyProtection="1">
      <alignment horizontal="center" vertical="center" wrapText="1"/>
    </xf>
    <xf numFmtId="1" fontId="3" fillId="3" borderId="11" xfId="2" applyNumberFormat="1" applyFont="1" applyFill="1" applyBorder="1" applyAlignment="1" applyProtection="1">
      <alignment horizontal="center" vertical="center" wrapText="1"/>
    </xf>
    <xf numFmtId="171" fontId="3" fillId="24" borderId="24" xfId="2" applyNumberFormat="1" applyFont="1" applyFill="1" applyBorder="1" applyAlignment="1" applyProtection="1">
      <alignment horizontal="center" wrapText="1"/>
    </xf>
    <xf numFmtId="171" fontId="3" fillId="24" borderId="25" xfId="2" applyNumberFormat="1" applyFont="1" applyFill="1" applyBorder="1" applyAlignment="1" applyProtection="1">
      <alignment horizontal="center" wrapText="1"/>
    </xf>
    <xf numFmtId="171" fontId="3" fillId="24" borderId="3" xfId="2" applyNumberFormat="1" applyFont="1" applyFill="1" applyBorder="1" applyAlignment="1" applyProtection="1">
      <alignment horizontal="center" wrapText="1"/>
    </xf>
    <xf numFmtId="0" fontId="4" fillId="0" borderId="0" xfId="6" applyFont="1" applyBorder="1" applyAlignment="1" applyProtection="1">
      <alignment horizontal="left" vertical="center" wrapText="1"/>
    </xf>
    <xf numFmtId="9" fontId="4" fillId="0" borderId="26" xfId="5" applyFont="1" applyBorder="1" applyAlignment="1" applyProtection="1">
      <alignment horizontal="center" vertical="top" wrapText="1"/>
    </xf>
    <xf numFmtId="9" fontId="4" fillId="0" borderId="3" xfId="5" applyFont="1" applyBorder="1" applyAlignment="1" applyProtection="1">
      <alignment horizontal="center" vertical="top" wrapText="1"/>
    </xf>
    <xf numFmtId="0" fontId="4" fillId="0" borderId="0" xfId="0" applyFont="1" applyFill="1" applyBorder="1" applyAlignment="1" applyProtection="1">
      <alignment horizontal="left" vertical="center" wrapText="1" readingOrder="1"/>
    </xf>
    <xf numFmtId="1" fontId="3" fillId="4" borderId="0" xfId="2" applyNumberFormat="1" applyFont="1" applyFill="1" applyBorder="1" applyAlignment="1" applyProtection="1">
      <alignment horizontal="center" vertical="center" wrapText="1"/>
    </xf>
    <xf numFmtId="171" fontId="3" fillId="31" borderId="47" xfId="2" applyNumberFormat="1" applyFont="1" applyFill="1" applyBorder="1" applyAlignment="1" applyProtection="1">
      <alignment horizontal="center" wrapText="1"/>
    </xf>
    <xf numFmtId="171" fontId="3" fillId="31" borderId="48" xfId="2" applyNumberFormat="1" applyFont="1" applyFill="1" applyBorder="1" applyAlignment="1" applyProtection="1">
      <alignment horizontal="center" wrapText="1"/>
    </xf>
    <xf numFmtId="171" fontId="3" fillId="31" borderId="49" xfId="2" applyNumberFormat="1" applyFont="1" applyFill="1" applyBorder="1" applyAlignment="1" applyProtection="1">
      <alignment horizontal="center" wrapText="1"/>
    </xf>
    <xf numFmtId="171" fontId="3" fillId="31" borderId="24" xfId="2" applyNumberFormat="1" applyFont="1" applyFill="1" applyBorder="1" applyAlignment="1" applyProtection="1">
      <alignment horizontal="center" wrapText="1"/>
    </xf>
    <xf numFmtId="171" fontId="3" fillId="31" borderId="3" xfId="2" applyNumberFormat="1" applyFont="1" applyFill="1" applyBorder="1" applyAlignment="1" applyProtection="1">
      <alignment horizontal="center" wrapText="1"/>
    </xf>
    <xf numFmtId="1" fontId="4" fillId="0" borderId="10" xfId="0" applyNumberFormat="1" applyFont="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0" fontId="7" fillId="0" borderId="0" xfId="0" applyFont="1" applyBorder="1" applyAlignment="1" applyProtection="1">
      <alignment horizontal="left" vertical="center" wrapText="1" readingOrder="1"/>
    </xf>
    <xf numFmtId="9" fontId="4" fillId="0" borderId="25" xfId="13" applyNumberFormat="1" applyFont="1" applyBorder="1" applyAlignment="1" applyProtection="1">
      <alignment horizontal="center" vertical="top" wrapText="1"/>
    </xf>
    <xf numFmtId="165" fontId="3" fillId="10" borderId="3" xfId="2" applyFont="1" applyFill="1" applyBorder="1" applyAlignment="1" applyProtection="1">
      <alignment horizontal="center"/>
    </xf>
    <xf numFmtId="165" fontId="3" fillId="23" borderId="31" xfId="2" applyFont="1" applyFill="1" applyBorder="1" applyAlignment="1" applyProtection="1">
      <alignment horizontal="center" wrapText="1"/>
    </xf>
    <xf numFmtId="165" fontId="3" fillId="23" borderId="32" xfId="2" applyFont="1" applyFill="1" applyBorder="1" applyAlignment="1" applyProtection="1">
      <alignment horizontal="center" wrapText="1"/>
    </xf>
    <xf numFmtId="165" fontId="3" fillId="23" borderId="33" xfId="2" applyFont="1" applyFill="1" applyBorder="1" applyAlignment="1" applyProtection="1">
      <alignment horizontal="center" wrapText="1"/>
    </xf>
    <xf numFmtId="1" fontId="24" fillId="0" borderId="63" xfId="0" applyNumberFormat="1" applyFont="1" applyFill="1" applyBorder="1" applyAlignment="1">
      <alignment horizontal="center"/>
    </xf>
    <xf numFmtId="1" fontId="24" fillId="0" borderId="58" xfId="0" applyNumberFormat="1" applyFont="1" applyFill="1" applyBorder="1" applyAlignment="1">
      <alignment horizontal="center"/>
    </xf>
    <xf numFmtId="1" fontId="24" fillId="0" borderId="64" xfId="0" applyNumberFormat="1"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165" fontId="27" fillId="27" borderId="0" xfId="2" applyFont="1" applyFill="1" applyBorder="1" applyAlignment="1" applyProtection="1">
      <alignment horizontal="center" vertical="center" textRotation="90" wrapText="1"/>
    </xf>
    <xf numFmtId="165" fontId="27" fillId="5" borderId="0" xfId="2" applyFont="1" applyFill="1" applyBorder="1" applyAlignment="1" applyProtection="1">
      <alignment horizontal="center" vertical="center" textRotation="90" wrapText="1"/>
    </xf>
    <xf numFmtId="165" fontId="27" fillId="6" borderId="0" xfId="2" applyFont="1" applyFill="1" applyBorder="1" applyAlignment="1" applyProtection="1">
      <alignment horizontal="center" vertical="center" textRotation="90" wrapText="1"/>
    </xf>
    <xf numFmtId="165" fontId="27" fillId="2" borderId="0" xfId="2" applyFont="1" applyFill="1" applyBorder="1" applyAlignment="1" applyProtection="1">
      <alignment horizontal="center" vertical="center" textRotation="90" wrapText="1"/>
    </xf>
    <xf numFmtId="165" fontId="27" fillId="29" borderId="0" xfId="2" applyFont="1" applyFill="1" applyBorder="1" applyAlignment="1" applyProtection="1">
      <alignment horizontal="center" vertical="center" textRotation="90" wrapText="1"/>
    </xf>
    <xf numFmtId="165" fontId="27" fillId="4" borderId="0" xfId="2" applyFont="1" applyFill="1" applyBorder="1" applyAlignment="1" applyProtection="1">
      <alignment horizontal="center" vertical="center" textRotation="90" wrapText="1"/>
    </xf>
  </cellXfs>
  <cellStyles count="16">
    <cellStyle name="Comma" xfId="1" builtinId="3"/>
    <cellStyle name="Comma 2" xfId="11"/>
    <cellStyle name="Currency" xfId="4" builtinId="4"/>
    <cellStyle name="Currency 2" xfId="12"/>
    <cellStyle name="Excel Built-in Normal" xfId="2"/>
    <cellStyle name="Heading" xfId="7"/>
    <cellStyle name="Heading1" xfId="8"/>
    <cellStyle name="Hyperlink" xfId="15" builtinId="8"/>
    <cellStyle name="Normal" xfId="0" builtinId="0"/>
    <cellStyle name="Normal 2" xfId="3"/>
    <cellStyle name="Normal 3" xfId="6"/>
    <cellStyle name="Normal_Sheet1" xfId="14"/>
    <cellStyle name="Percent" xfId="5" builtinId="5"/>
    <cellStyle name="Percent 2" xfId="13"/>
    <cellStyle name="Result" xfId="9"/>
    <cellStyle name="Result2" xfId="10"/>
  </cellStyles>
  <dxfs count="60">
    <dxf>
      <font>
        <color rgb="FF00E266"/>
      </font>
      <fill>
        <patternFill>
          <bgColor rgb="FF00E266"/>
        </patternFill>
      </fill>
    </dxf>
    <dxf>
      <font>
        <color rgb="FF00E266"/>
      </font>
      <fill>
        <patternFill>
          <bgColor rgb="FF00E266"/>
        </patternFill>
      </fill>
    </dxf>
    <dxf>
      <font>
        <color rgb="FF00E266"/>
      </font>
      <fill>
        <patternFill>
          <bgColor rgb="FF00E266"/>
        </patternFill>
      </fill>
    </dxf>
    <dxf>
      <font>
        <color rgb="FF00E266"/>
      </font>
      <fill>
        <patternFill>
          <bgColor rgb="FF00E266"/>
        </patternFill>
      </fill>
    </dxf>
    <dxf>
      <font>
        <color rgb="FF00E266"/>
      </font>
      <fill>
        <patternFill>
          <bgColor rgb="FF00E266"/>
        </patternFill>
      </fill>
    </dxf>
    <dxf>
      <font>
        <color rgb="FF00E266"/>
      </font>
      <fill>
        <patternFill>
          <bgColor rgb="FF00E266"/>
        </patternFill>
      </fill>
    </dxf>
    <dxf>
      <font>
        <color rgb="FF00E266"/>
      </font>
      <fill>
        <patternFill>
          <bgColor rgb="FF00E266"/>
        </patternFill>
      </fill>
    </dxf>
    <dxf>
      <font>
        <color rgb="FFDBEEF4"/>
      </font>
      <fill>
        <patternFill>
          <bgColor rgb="FFDBEEF4"/>
        </patternFill>
      </fill>
    </dxf>
    <dxf>
      <font>
        <color rgb="FFDBEEF4"/>
      </font>
      <fill>
        <patternFill>
          <bgColor rgb="FFDBEEF4"/>
        </patternFill>
      </fill>
    </dxf>
    <dxf>
      <font>
        <color rgb="FFDBEEF4"/>
      </font>
      <fill>
        <patternFill>
          <bgColor rgb="FFDBEEF4"/>
        </patternFill>
      </fill>
    </dxf>
    <dxf>
      <font>
        <color rgb="FFDBEEF4"/>
      </font>
      <fill>
        <patternFill>
          <bgColor rgb="FFDBEEF4"/>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8EB4E3"/>
      </font>
      <fill>
        <patternFill>
          <bgColor rgb="FF8EB4E3"/>
        </patternFill>
      </fill>
    </dxf>
    <dxf>
      <font>
        <color rgb="FF8EB4E3"/>
      </font>
      <fill>
        <patternFill>
          <bgColor rgb="FF8EB4E3"/>
        </patternFill>
      </fill>
    </dxf>
    <dxf>
      <font>
        <color rgb="FF8EB4E3"/>
      </font>
      <fill>
        <patternFill>
          <bgColor rgb="FF8EB4E3"/>
        </patternFill>
      </fill>
    </dxf>
    <dxf>
      <font>
        <color rgb="FFBFBFBF"/>
      </font>
      <fill>
        <patternFill>
          <bgColor theme="0" tint="-0.24994659260841701"/>
        </patternFill>
      </fill>
    </dxf>
    <dxf>
      <font>
        <color rgb="FFFAC090"/>
      </font>
      <fill>
        <patternFill>
          <bgColor rgb="FFFAC090"/>
        </patternFill>
      </fill>
    </dxf>
    <dxf>
      <font>
        <color rgb="FFDBEEF4"/>
      </font>
      <fill>
        <patternFill>
          <bgColor rgb="FFDBEEF4"/>
        </patternFill>
      </fill>
    </dxf>
    <dxf>
      <font>
        <color rgb="FF8EB4E3"/>
      </font>
      <fill>
        <patternFill>
          <bgColor rgb="FF8EB4E3"/>
        </patternFill>
      </fill>
    </dxf>
    <dxf>
      <font>
        <color rgb="FF9BBB59"/>
      </font>
      <fill>
        <patternFill>
          <bgColor rgb="FF9BBB59"/>
        </patternFill>
      </fill>
    </dxf>
    <dxf>
      <font>
        <color rgb="FFDBEEF4"/>
      </font>
      <fill>
        <patternFill>
          <bgColor rgb="FFDBEEF4"/>
        </patternFill>
      </fill>
    </dxf>
    <dxf>
      <font>
        <color rgb="FFDBEEF4"/>
      </font>
      <fill>
        <patternFill>
          <bgColor rgb="FFDBEEF4"/>
        </patternFill>
      </fill>
    </dxf>
    <dxf>
      <font>
        <color rgb="FFDBEEF4"/>
      </font>
      <fill>
        <patternFill>
          <bgColor rgb="FFDBEEF4"/>
        </patternFill>
      </fill>
    </dxf>
    <dxf>
      <font>
        <color rgb="FFDBEEF4"/>
      </font>
      <fill>
        <patternFill>
          <bgColor rgb="FFDBEEF4"/>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BFBFBF"/>
      </font>
      <fill>
        <patternFill>
          <bgColor theme="0" tint="-0.24994659260841701"/>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FAC090"/>
      </font>
      <fill>
        <patternFill>
          <bgColor rgb="FFFAC090"/>
        </patternFill>
      </fill>
    </dxf>
    <dxf>
      <font>
        <color rgb="FF8EB4E3"/>
      </font>
      <fill>
        <patternFill>
          <bgColor rgb="FF8EB4E3"/>
        </patternFill>
      </fill>
    </dxf>
    <dxf>
      <font>
        <color rgb="FF8EB4E3"/>
      </font>
      <fill>
        <patternFill>
          <bgColor rgb="FF8EB4E3"/>
        </patternFill>
      </fill>
    </dxf>
    <dxf>
      <font>
        <color rgb="FF8EB4E3"/>
      </font>
      <fill>
        <patternFill>
          <bgColor rgb="FF8EB4E3"/>
        </patternFill>
      </fill>
    </dxf>
    <dxf>
      <font>
        <color rgb="FF00E266"/>
      </font>
      <fill>
        <patternFill>
          <bgColor rgb="FF00E266"/>
        </patternFill>
      </fill>
    </dxf>
    <dxf>
      <font>
        <color rgb="FFBFBFBF"/>
      </font>
      <fill>
        <patternFill>
          <bgColor theme="0" tint="-0.24994659260841701"/>
        </patternFill>
      </fill>
    </dxf>
    <dxf>
      <font>
        <color rgb="FFFAC090"/>
      </font>
      <fill>
        <patternFill>
          <bgColor rgb="FFFAC090"/>
        </patternFill>
      </fill>
    </dxf>
    <dxf>
      <font>
        <color rgb="FFDBEEF4"/>
      </font>
      <fill>
        <patternFill>
          <bgColor rgb="FFDBEEF4"/>
        </patternFill>
      </fill>
    </dxf>
    <dxf>
      <font>
        <color rgb="FF8EB4E3"/>
      </font>
      <fill>
        <patternFill>
          <bgColor rgb="FF8EB4E3"/>
        </patternFill>
      </fill>
    </dxf>
    <dxf>
      <font>
        <color rgb="FF9BBB59"/>
      </font>
      <fill>
        <patternFill>
          <bgColor rgb="FF9BBB59"/>
        </patternFill>
      </fill>
    </dxf>
  </dxfs>
  <tableStyles count="0" defaultTableStyle="TableStyleMedium9"/>
  <colors>
    <mruColors>
      <color rgb="FFCCFFFF"/>
      <color rgb="FF00E266"/>
      <color rgb="FFDBEEF4"/>
      <color rgb="FFBFBFBF"/>
      <color rgb="FFE8E8E8"/>
      <color rgb="FFEEECE1"/>
      <color rgb="FFFAC090"/>
      <color rgb="FF8EB4E3"/>
      <color rgb="FF00B050"/>
      <color rgb="FF9BBB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3" Type="http://schemas.openxmlformats.org/officeDocument/2006/relationships/hyperlink" Target="http://www.stormwaterpa.org/assets/media/BMP_manual/chapter_5/Chapter_5-7-1.pdf" TargetMode="External"/><Relationship Id="rId18" Type="http://schemas.openxmlformats.org/officeDocument/2006/relationships/hyperlink" Target="http://sand-creek.com/" TargetMode="External"/><Relationship Id="rId26" Type="http://schemas.openxmlformats.org/officeDocument/2006/relationships/hyperlink" Target="http://www.cabmphandbooks.com/Documents/Municipal/SC-70.pdf" TargetMode="External"/><Relationship Id="rId39" Type="http://schemas.openxmlformats.org/officeDocument/2006/relationships/hyperlink" Target="http://link.springer.com/article/10.1007/s11252-012-0266-z" TargetMode="External"/><Relationship Id="rId21" Type="http://schemas.openxmlformats.org/officeDocument/2006/relationships/hyperlink" Target="http://www.mass.gov/envir/smart_growth_toolkit/bylaws/TDR-Bylaw.pdf" TargetMode="External"/><Relationship Id="rId34" Type="http://schemas.openxmlformats.org/officeDocument/2006/relationships/hyperlink" Target="http://www.toddecological.com/clients/list.php" TargetMode="External"/><Relationship Id="rId42" Type="http://schemas.openxmlformats.org/officeDocument/2006/relationships/hyperlink" Target="http://www.epa.gov/tio/download/remed/phytotechnologies-factsheet.pdf" TargetMode="External"/><Relationship Id="rId47" Type="http://schemas.openxmlformats.org/officeDocument/2006/relationships/hyperlink" Target="http://www.firelandstributaries.net/pdfs/Local%20workgroup/Treatment_Wetlands.pdf" TargetMode="External"/><Relationship Id="rId50" Type="http://schemas.openxmlformats.org/officeDocument/2006/relationships/hyperlink" Target="http://web.vims.edu/GreyLit/VIMS/sramsoe429.pdf" TargetMode="External"/><Relationship Id="rId55" Type="http://schemas.openxmlformats.org/officeDocument/2006/relationships/image" Target="../media/image2.png"/><Relationship Id="rId63" Type="http://schemas.openxmlformats.org/officeDocument/2006/relationships/image" Target="../media/image10.png"/><Relationship Id="rId68" Type="http://schemas.openxmlformats.org/officeDocument/2006/relationships/image" Target="../media/image15.png"/><Relationship Id="rId76" Type="http://schemas.openxmlformats.org/officeDocument/2006/relationships/image" Target="../media/image23.png"/><Relationship Id="rId84" Type="http://schemas.openxmlformats.org/officeDocument/2006/relationships/image" Target="../media/image31.png"/><Relationship Id="rId89" Type="http://schemas.openxmlformats.org/officeDocument/2006/relationships/image" Target="../media/image36.png"/><Relationship Id="rId7" Type="http://schemas.openxmlformats.org/officeDocument/2006/relationships/hyperlink" Target="https://www.federalregister.gov/articles/2011/03/21/2011-4495/standards-of-performance-for-new-stationary-sources-and-emission-guidelines-for-existing-sources" TargetMode="External"/><Relationship Id="rId71" Type="http://schemas.openxmlformats.org/officeDocument/2006/relationships/image" Target="../media/image18.png"/><Relationship Id="rId2" Type="http://schemas.openxmlformats.org/officeDocument/2006/relationships/hyperlink" Target="http://www.unh.edu/unhsc/sites/unh.edu.unhsc/files/docs/UNHSC.2012Report.10.10.12.pdf" TargetMode="External"/><Relationship Id="rId16" Type="http://schemas.openxmlformats.org/officeDocument/2006/relationships/hyperlink" Target="http://www.incinolet.com/" TargetMode="External"/><Relationship Id="rId29" Type="http://schemas.openxmlformats.org/officeDocument/2006/relationships/hyperlink" Target="http://www.ecosanres.org/pdf_files/ToiletsThatMakeCompost.pdf" TargetMode="External"/><Relationship Id="rId11" Type="http://schemas.openxmlformats.org/officeDocument/2006/relationships/hyperlink" Target="http://www.mass.gov/envir/smart_growth_toolkit/pages/mod-tdr.html" TargetMode="External"/><Relationship Id="rId24" Type="http://schemas.openxmlformats.org/officeDocument/2006/relationships/hyperlink" Target="http://www.epa.gov/owow/watershed/outreach/documents/getnstep.pdf" TargetMode="External"/><Relationship Id="rId32" Type="http://schemas.openxmlformats.org/officeDocument/2006/relationships/hyperlink" Target="http://www.unh.edu/unhsc/sites/unh.edu.unhsc/files/pubs_specs_info/unhsc_gravel_wetland_specs_6_09.pdf" TargetMode="External"/><Relationship Id="rId37" Type="http://schemas.openxmlformats.org/officeDocument/2006/relationships/hyperlink" Target="http://water.epa.gov/aboutow/owm/upload/2005_07_14_comp.pdf" TargetMode="External"/><Relationship Id="rId40" Type="http://schemas.openxmlformats.org/officeDocument/2006/relationships/hyperlink" Target="http://www.sancor.ca/" TargetMode="External"/><Relationship Id="rId45" Type="http://schemas.openxmlformats.org/officeDocument/2006/relationships/hyperlink" Target="http://www.tetratech-ffx.com/potwconf/pdf/112008_1200_Kreissl.pdf" TargetMode="External"/><Relationship Id="rId53" Type="http://schemas.openxmlformats.org/officeDocument/2006/relationships/hyperlink" Target="http://www.auburn.edu/~wcw0003/products/publications/carmichael-rh-w-walton--h.html" TargetMode="External"/><Relationship Id="rId58" Type="http://schemas.openxmlformats.org/officeDocument/2006/relationships/image" Target="../media/image5.png"/><Relationship Id="rId66" Type="http://schemas.openxmlformats.org/officeDocument/2006/relationships/image" Target="../media/image13.png"/><Relationship Id="rId74" Type="http://schemas.openxmlformats.org/officeDocument/2006/relationships/image" Target="../media/image21.png"/><Relationship Id="rId79" Type="http://schemas.openxmlformats.org/officeDocument/2006/relationships/image" Target="../media/image26.png"/><Relationship Id="rId87" Type="http://schemas.openxmlformats.org/officeDocument/2006/relationships/image" Target="../media/image34.png"/><Relationship Id="rId5" Type="http://schemas.openxmlformats.org/officeDocument/2006/relationships/hyperlink" Target="http://water.epa.gov/scitech/wastetech/biosolids/503pe_index.cfm" TargetMode="External"/><Relationship Id="rId61" Type="http://schemas.openxmlformats.org/officeDocument/2006/relationships/image" Target="../media/image8.png"/><Relationship Id="rId82" Type="http://schemas.openxmlformats.org/officeDocument/2006/relationships/image" Target="../media/image29.png"/><Relationship Id="rId90" Type="http://schemas.openxmlformats.org/officeDocument/2006/relationships/image" Target="../media/image37.png"/><Relationship Id="rId19" Type="http://schemas.openxmlformats.org/officeDocument/2006/relationships/hyperlink" Target="http://ciceet.unh.edu/news/releases/spring08_progress_reports/pdf/vallino.pdf" TargetMode="External"/><Relationship Id="rId4" Type="http://schemas.openxmlformats.org/officeDocument/2006/relationships/hyperlink" Target="http://water.epa.gov/scitech/wastetech/mtbfact.cfm" TargetMode="External"/><Relationship Id="rId9" Type="http://schemas.openxmlformats.org/officeDocument/2006/relationships/hyperlink" Target="http://www.ccwpc.org/index.php/component/content/article/36-wastewater-reports/78-comparison-of-costs-for-wastewater-management-systems-applicable-to-cape-cod" TargetMode="External"/><Relationship Id="rId14" Type="http://schemas.openxmlformats.org/officeDocument/2006/relationships/hyperlink" Target="http://mvgazette.com/news/2011/12/01/composting-toilets-pitched-better-sewers-protecting-ponds?k=vg524595282974b&amp;r=1" TargetMode="External"/><Relationship Id="rId22" Type="http://schemas.openxmlformats.org/officeDocument/2006/relationships/hyperlink" Target="http://www.worldsweeper.com/Street/Studies/CWPStudy/CBStreetSweeping.pdf" TargetMode="External"/><Relationship Id="rId27" Type="http://schemas.openxmlformats.org/officeDocument/2006/relationships/hyperlink" Target="http://plna.membershipsoftware.org/files/Home%20Page/Final_CBP_Approved_Expert_Panel_Report_on_Urban_Nutrient_Management--short.pdf" TargetMode="External"/><Relationship Id="rId30" Type="http://schemas.openxmlformats.org/officeDocument/2006/relationships/hyperlink" Target="http://www.ecosanres.org/pdf_files/Urine_Diversion_2006-1.pdf" TargetMode="External"/><Relationship Id="rId35" Type="http://schemas.openxmlformats.org/officeDocument/2006/relationships/hyperlink" Target="http://water.epa.gov/scitech/wastetech/upload/2002_12_13_mtb_living_machine.pdf" TargetMode="External"/><Relationship Id="rId43" Type="http://schemas.openxmlformats.org/officeDocument/2006/relationships/hyperlink" Target="http://water.epa.gov/type/wetlands/restore/upload/constructed-wetlands-design-manual.pdf" TargetMode="External"/><Relationship Id="rId48" Type="http://schemas.openxmlformats.org/officeDocument/2006/relationships/hyperlink" Target="http://www.brownandcaldwell.com/Tech_Papers/700.pdf" TargetMode="External"/><Relationship Id="rId56" Type="http://schemas.openxmlformats.org/officeDocument/2006/relationships/image" Target="../media/image3.png"/><Relationship Id="rId64" Type="http://schemas.openxmlformats.org/officeDocument/2006/relationships/image" Target="../media/image11.png"/><Relationship Id="rId69" Type="http://schemas.openxmlformats.org/officeDocument/2006/relationships/image" Target="../media/image16.png"/><Relationship Id="rId77" Type="http://schemas.openxmlformats.org/officeDocument/2006/relationships/image" Target="../media/image24.png"/><Relationship Id="rId8" Type="http://schemas.openxmlformats.org/officeDocument/2006/relationships/hyperlink" Target="http://water.epa.gov/type/groundwater/uic/basicinformation.cfm" TargetMode="External"/><Relationship Id="rId51" Type="http://schemas.openxmlformats.org/officeDocument/2006/relationships/hyperlink" Target="http://www.int-res.com/abstracts/meps/v480/feature/" TargetMode="External"/><Relationship Id="rId72" Type="http://schemas.openxmlformats.org/officeDocument/2006/relationships/image" Target="../media/image19.png"/><Relationship Id="rId80" Type="http://schemas.openxmlformats.org/officeDocument/2006/relationships/image" Target="../media/image27.png"/><Relationship Id="rId85" Type="http://schemas.openxmlformats.org/officeDocument/2006/relationships/image" Target="../media/image32.png"/><Relationship Id="rId3" Type="http://schemas.openxmlformats.org/officeDocument/2006/relationships/hyperlink" Target="http://www.unh.edu/unhsc/sites/unh.edu.unhsc/files/Houle_JEE_July-2013.pdf" TargetMode="External"/><Relationship Id="rId12" Type="http://schemas.openxmlformats.org/officeDocument/2006/relationships/hyperlink" Target="http://www.pleasantbay.org/wp-content/uploads/101216_FinalReport_10002.pdf" TargetMode="External"/><Relationship Id="rId17" Type="http://schemas.openxmlformats.org/officeDocument/2006/relationships/hyperlink" Target="http://www.clu-in.org/conf/itrc/prbtu/prez/ITRC_PRBUpdate_092012ibtpdf.pdf" TargetMode="External"/><Relationship Id="rId25" Type="http://schemas.openxmlformats.org/officeDocument/2006/relationships/hyperlink" Target="http://cfpub.epa.gov/npdes/stormwater/menuofbmps/index.cfm?action=browse&amp;Rbutton=detail&amp;bmp=99" TargetMode="External"/><Relationship Id="rId33" Type="http://schemas.openxmlformats.org/officeDocument/2006/relationships/hyperlink" Target="http://www.crwa.org/projects/bmpfactsheets/crwa_gravelwetland.pdf" TargetMode="External"/><Relationship Id="rId38" Type="http://schemas.openxmlformats.org/officeDocument/2006/relationships/hyperlink" Target="http://www.ecosanres.org/pdf_files/ESR-factsheet-13.pdf" TargetMode="External"/><Relationship Id="rId46" Type="http://schemas.openxmlformats.org/officeDocument/2006/relationships/hyperlink" Target="http://link.springer.com/article/10.1007/s13157-013-0444-7" TargetMode="External"/><Relationship Id="rId59" Type="http://schemas.openxmlformats.org/officeDocument/2006/relationships/image" Target="../media/image6.png"/><Relationship Id="rId67" Type="http://schemas.openxmlformats.org/officeDocument/2006/relationships/image" Target="../media/image14.png"/><Relationship Id="rId20" Type="http://schemas.openxmlformats.org/officeDocument/2006/relationships/hyperlink" Target="http://www.barnstablecountyhealth.org/ia-systems/information-center/compendium-of-information-on-alternative-onsite-septic-system-technology/incinerating-toilets" TargetMode="External"/><Relationship Id="rId41" Type="http://schemas.openxmlformats.org/officeDocument/2006/relationships/hyperlink" Target="http://www.sun-mar.com/" TargetMode="External"/><Relationship Id="rId54" Type="http://schemas.openxmlformats.org/officeDocument/2006/relationships/hyperlink" Target="http://bayareamonitor.org/index.php?option=com_content&amp;view=article&amp;id=366&amp;Itemid=66" TargetMode="External"/><Relationship Id="rId62" Type="http://schemas.openxmlformats.org/officeDocument/2006/relationships/image" Target="../media/image9.png"/><Relationship Id="rId70" Type="http://schemas.openxmlformats.org/officeDocument/2006/relationships/image" Target="../media/image17.png"/><Relationship Id="rId75" Type="http://schemas.openxmlformats.org/officeDocument/2006/relationships/image" Target="../media/image22.png"/><Relationship Id="rId83" Type="http://schemas.openxmlformats.org/officeDocument/2006/relationships/image" Target="../media/image30.png"/><Relationship Id="rId88" Type="http://schemas.openxmlformats.org/officeDocument/2006/relationships/image" Target="../media/image35.png"/><Relationship Id="rId1" Type="http://schemas.openxmlformats.org/officeDocument/2006/relationships/image" Target="../media/image1.png"/><Relationship Id="rId6" Type="http://schemas.openxmlformats.org/officeDocument/2006/relationships/hyperlink" Target="http://epa.gov/nrmrl/pubs/625r92013/625r92013.htm" TargetMode="External"/><Relationship Id="rId15" Type="http://schemas.openxmlformats.org/officeDocument/2006/relationships/hyperlink" Target="http://richearthinstitute.org/?page_id=739" TargetMode="External"/><Relationship Id="rId23" Type="http://schemas.openxmlformats.org/officeDocument/2006/relationships/hyperlink" Target="http://chesapeakestormwater.net/bay-stormwater/baywide-stormwater-policy/urban-stormwater-workgroup/urban-stream-restoration/" TargetMode="External"/><Relationship Id="rId28" Type="http://schemas.openxmlformats.org/officeDocument/2006/relationships/hyperlink" Target="http://www.eco-toilets.com/incinerating-toilets.php" TargetMode="External"/><Relationship Id="rId36" Type="http://schemas.openxmlformats.org/officeDocument/2006/relationships/hyperlink" Target="http://toddecological.com/clients/PDFs/100623.casestudy.southburlington.pdf" TargetMode="External"/><Relationship Id="rId49" Type="http://schemas.openxmlformats.org/officeDocument/2006/relationships/hyperlink" Target="http://water.epa.gov/infrastructure/septic/upload/wetlands-subsurface_flow.pdf" TargetMode="External"/><Relationship Id="rId57" Type="http://schemas.openxmlformats.org/officeDocument/2006/relationships/image" Target="../media/image4.png"/><Relationship Id="rId10" Type="http://schemas.openxmlformats.org/officeDocument/2006/relationships/hyperlink" Target="http://www.floatingislandswest.com/" TargetMode="External"/><Relationship Id="rId31" Type="http://schemas.openxmlformats.org/officeDocument/2006/relationships/hyperlink" Target="http://www.ecovita.net/" TargetMode="External"/><Relationship Id="rId44" Type="http://schemas.openxmlformats.org/officeDocument/2006/relationships/hyperlink" Target="http://link.springer.com/article/10.1023/B:WAFO.0000028385.63075.51" TargetMode="External"/><Relationship Id="rId52" Type="http://schemas.openxmlformats.org/officeDocument/2006/relationships/hyperlink" Target="http://www.nature.org/ourinitiatives/regions/northamerica/unitedstates/louisiana/oyster-reef-restoration-in-louisiana.xml" TargetMode="External"/><Relationship Id="rId60" Type="http://schemas.openxmlformats.org/officeDocument/2006/relationships/image" Target="../media/image7.png"/><Relationship Id="rId65" Type="http://schemas.openxmlformats.org/officeDocument/2006/relationships/image" Target="../media/image12.png"/><Relationship Id="rId73" Type="http://schemas.openxmlformats.org/officeDocument/2006/relationships/image" Target="../media/image20.png"/><Relationship Id="rId78" Type="http://schemas.openxmlformats.org/officeDocument/2006/relationships/image" Target="../media/image25.png"/><Relationship Id="rId81" Type="http://schemas.openxmlformats.org/officeDocument/2006/relationships/image" Target="../media/image28.png"/><Relationship Id="rId86" Type="http://schemas.openxmlformats.org/officeDocument/2006/relationships/image" Target="../media/image33.png"/></Relationships>
</file>

<file path=xl/drawings/drawing1.xml><?xml version="1.0" encoding="utf-8"?>
<xdr:wsDr xmlns:xdr="http://schemas.openxmlformats.org/drawingml/2006/spreadsheetDrawing" xmlns:a="http://schemas.openxmlformats.org/drawingml/2006/main">
  <xdr:twoCellAnchor editAs="oneCell">
    <xdr:from>
      <xdr:col>2</xdr:col>
      <xdr:colOff>154214</xdr:colOff>
      <xdr:row>82</xdr:row>
      <xdr:rowOff>2174422</xdr:rowOff>
    </xdr:from>
    <xdr:to>
      <xdr:col>2</xdr:col>
      <xdr:colOff>1068614</xdr:colOff>
      <xdr:row>82</xdr:row>
      <xdr:rowOff>3088822</xdr:rowOff>
    </xdr:to>
    <xdr:pic>
      <xdr:nvPicPr>
        <xdr:cNvPr id="5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7214" y="177269322"/>
          <a:ext cx="914400" cy="914400"/>
        </a:xfrm>
        <a:prstGeom prst="rect">
          <a:avLst/>
        </a:prstGeom>
      </xdr:spPr>
    </xdr:pic>
    <xdr:clientData/>
  </xdr:twoCellAnchor>
  <xdr:twoCellAnchor editAs="oneCell">
    <xdr:from>
      <xdr:col>2</xdr:col>
      <xdr:colOff>148772</xdr:colOff>
      <xdr:row>85</xdr:row>
      <xdr:rowOff>1073824</xdr:rowOff>
    </xdr:from>
    <xdr:to>
      <xdr:col>2</xdr:col>
      <xdr:colOff>1063172</xdr:colOff>
      <xdr:row>85</xdr:row>
      <xdr:rowOff>1988224</xdr:rowOff>
    </xdr:to>
    <xdr:pic>
      <xdr:nvPicPr>
        <xdr:cNvPr id="5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1772" y="187560624"/>
          <a:ext cx="914400" cy="914400"/>
        </a:xfrm>
        <a:prstGeom prst="rect">
          <a:avLst/>
        </a:prstGeom>
      </xdr:spPr>
    </xdr:pic>
    <xdr:clientData/>
  </xdr:twoCellAnchor>
  <xdr:twoCellAnchor>
    <xdr:from>
      <xdr:col>118</xdr:col>
      <xdr:colOff>127000</xdr:colOff>
      <xdr:row>15</xdr:row>
      <xdr:rowOff>444500</xdr:rowOff>
    </xdr:from>
    <xdr:to>
      <xdr:col>118</xdr:col>
      <xdr:colOff>11760200</xdr:colOff>
      <xdr:row>15</xdr:row>
      <xdr:rowOff>685800</xdr:rowOff>
    </xdr:to>
    <xdr:sp macro="" textlink="">
      <xdr:nvSpPr>
        <xdr:cNvPr id="27" name="TextBox 26">
          <a:hlinkClick xmlns:r="http://schemas.openxmlformats.org/officeDocument/2006/relationships" r:id="rId2"/>
        </xdr:cNvPr>
        <xdr:cNvSpPr txBox="1"/>
      </xdr:nvSpPr>
      <xdr:spPr>
        <a:xfrm>
          <a:off x="105765600" y="29578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http://www.unh.edu/unhsc/sites/unh.edu.unhsc/files/docs/UNHSC.2012Report.10.10.12.pdf</a:t>
          </a:r>
        </a:p>
      </xdr:txBody>
    </xdr:sp>
    <xdr:clientData/>
  </xdr:twoCellAnchor>
  <xdr:twoCellAnchor>
    <xdr:from>
      <xdr:col>118</xdr:col>
      <xdr:colOff>127000</xdr:colOff>
      <xdr:row>15</xdr:row>
      <xdr:rowOff>114300</xdr:rowOff>
    </xdr:from>
    <xdr:to>
      <xdr:col>118</xdr:col>
      <xdr:colOff>11760200</xdr:colOff>
      <xdr:row>15</xdr:row>
      <xdr:rowOff>355600</xdr:rowOff>
    </xdr:to>
    <xdr:sp macro="" textlink="">
      <xdr:nvSpPr>
        <xdr:cNvPr id="63" name="TextBox 62">
          <a:hlinkClick xmlns:r="http://schemas.openxmlformats.org/officeDocument/2006/relationships" r:id="rId2"/>
        </xdr:cNvPr>
        <xdr:cNvSpPr txBox="1"/>
      </xdr:nvSpPr>
      <xdr:spPr>
        <a:xfrm>
          <a:off x="105765600" y="29248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http://www.unh.edu/unhsc/sites/unh.edu.unhsc/files/asce_jee_maintenance.pdf </a:t>
          </a:r>
        </a:p>
      </xdr:txBody>
    </xdr:sp>
    <xdr:clientData/>
  </xdr:twoCellAnchor>
  <xdr:twoCellAnchor>
    <xdr:from>
      <xdr:col>118</xdr:col>
      <xdr:colOff>130175</xdr:colOff>
      <xdr:row>13</xdr:row>
      <xdr:rowOff>273050</xdr:rowOff>
    </xdr:from>
    <xdr:to>
      <xdr:col>118</xdr:col>
      <xdr:colOff>11763375</xdr:colOff>
      <xdr:row>13</xdr:row>
      <xdr:rowOff>514350</xdr:rowOff>
    </xdr:to>
    <xdr:sp macro="" textlink="">
      <xdr:nvSpPr>
        <xdr:cNvPr id="73" name="TextBox 72">
          <a:hlinkClick xmlns:r="http://schemas.openxmlformats.org/officeDocument/2006/relationships" r:id="rId3"/>
        </xdr:cNvPr>
        <xdr:cNvSpPr txBox="1"/>
      </xdr:nvSpPr>
      <xdr:spPr>
        <a:xfrm>
          <a:off x="111477425" y="237521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http://www.unh.edu/unhsc/sites/unh.edu.unhsc/files/Houle_JEE_July-2013.pdf</a:t>
          </a:r>
        </a:p>
      </xdr:txBody>
    </xdr:sp>
    <xdr:clientData/>
  </xdr:twoCellAnchor>
  <xdr:twoCellAnchor>
    <xdr:from>
      <xdr:col>118</xdr:col>
      <xdr:colOff>114300</xdr:colOff>
      <xdr:row>88</xdr:row>
      <xdr:rowOff>596900</xdr:rowOff>
    </xdr:from>
    <xdr:to>
      <xdr:col>118</xdr:col>
      <xdr:colOff>11747500</xdr:colOff>
      <xdr:row>88</xdr:row>
      <xdr:rowOff>838200</xdr:rowOff>
    </xdr:to>
    <xdr:sp macro="" textlink="">
      <xdr:nvSpPr>
        <xdr:cNvPr id="80" name="TextBox 79">
          <a:hlinkClick xmlns:r="http://schemas.openxmlformats.org/officeDocument/2006/relationships" r:id="rId4"/>
        </xdr:cNvPr>
        <xdr:cNvSpPr txBox="1"/>
      </xdr:nvSpPr>
      <xdr:spPr>
        <a:xfrm>
          <a:off x="105752900" y="1873377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http://water.epa.gov/scitech/wastetech/mtbfact.cfm </a:t>
          </a:r>
        </a:p>
      </xdr:txBody>
    </xdr:sp>
    <xdr:clientData/>
  </xdr:twoCellAnchor>
  <xdr:twoCellAnchor>
    <xdr:from>
      <xdr:col>118</xdr:col>
      <xdr:colOff>101600</xdr:colOff>
      <xdr:row>88</xdr:row>
      <xdr:rowOff>266700</xdr:rowOff>
    </xdr:from>
    <xdr:to>
      <xdr:col>118</xdr:col>
      <xdr:colOff>11734800</xdr:colOff>
      <xdr:row>88</xdr:row>
      <xdr:rowOff>508000</xdr:rowOff>
    </xdr:to>
    <xdr:sp macro="" textlink="">
      <xdr:nvSpPr>
        <xdr:cNvPr id="81" name="TextBox 80">
          <a:hlinkClick xmlns:r="http://schemas.openxmlformats.org/officeDocument/2006/relationships" r:id="rId5"/>
        </xdr:cNvPr>
        <xdr:cNvSpPr txBox="1"/>
      </xdr:nvSpPr>
      <xdr:spPr>
        <a:xfrm>
          <a:off x="105740200" y="187007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127000</xdr:colOff>
      <xdr:row>87</xdr:row>
      <xdr:rowOff>269875</xdr:rowOff>
    </xdr:from>
    <xdr:to>
      <xdr:col>118</xdr:col>
      <xdr:colOff>11760200</xdr:colOff>
      <xdr:row>87</xdr:row>
      <xdr:rowOff>511175</xdr:rowOff>
    </xdr:to>
    <xdr:sp macro="" textlink="">
      <xdr:nvSpPr>
        <xdr:cNvPr id="82" name="TextBox 81">
          <a:hlinkClick xmlns:r="http://schemas.openxmlformats.org/officeDocument/2006/relationships" r:id="rId5"/>
        </xdr:cNvPr>
        <xdr:cNvSpPr txBox="1"/>
      </xdr:nvSpPr>
      <xdr:spPr>
        <a:xfrm>
          <a:off x="111474250" y="1816417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95250</xdr:colOff>
      <xdr:row>79</xdr:row>
      <xdr:rowOff>95250</xdr:rowOff>
    </xdr:from>
    <xdr:to>
      <xdr:col>118</xdr:col>
      <xdr:colOff>11728450</xdr:colOff>
      <xdr:row>79</xdr:row>
      <xdr:rowOff>336550</xdr:rowOff>
    </xdr:to>
    <xdr:sp macro="" textlink="">
      <xdr:nvSpPr>
        <xdr:cNvPr id="83" name="TextBox 82">
          <a:hlinkClick xmlns:r="http://schemas.openxmlformats.org/officeDocument/2006/relationships" r:id="rId5"/>
        </xdr:cNvPr>
        <xdr:cNvSpPr txBox="1"/>
      </xdr:nvSpPr>
      <xdr:spPr>
        <a:xfrm>
          <a:off x="111442500" y="156860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95250</xdr:colOff>
      <xdr:row>80</xdr:row>
      <xdr:rowOff>95250</xdr:rowOff>
    </xdr:from>
    <xdr:to>
      <xdr:col>118</xdr:col>
      <xdr:colOff>11728450</xdr:colOff>
      <xdr:row>80</xdr:row>
      <xdr:rowOff>336550</xdr:rowOff>
    </xdr:to>
    <xdr:sp macro="" textlink="">
      <xdr:nvSpPr>
        <xdr:cNvPr id="84" name="TextBox 83">
          <a:hlinkClick xmlns:r="http://schemas.openxmlformats.org/officeDocument/2006/relationships" r:id="rId5"/>
        </xdr:cNvPr>
        <xdr:cNvSpPr txBox="1"/>
      </xdr:nvSpPr>
      <xdr:spPr>
        <a:xfrm>
          <a:off x="111442500" y="156860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95250</xdr:colOff>
      <xdr:row>81</xdr:row>
      <xdr:rowOff>95250</xdr:rowOff>
    </xdr:from>
    <xdr:to>
      <xdr:col>118</xdr:col>
      <xdr:colOff>11728450</xdr:colOff>
      <xdr:row>81</xdr:row>
      <xdr:rowOff>336550</xdr:rowOff>
    </xdr:to>
    <xdr:sp macro="" textlink="">
      <xdr:nvSpPr>
        <xdr:cNvPr id="85" name="TextBox 84">
          <a:hlinkClick xmlns:r="http://schemas.openxmlformats.org/officeDocument/2006/relationships" r:id="rId5"/>
        </xdr:cNvPr>
        <xdr:cNvSpPr txBox="1"/>
      </xdr:nvSpPr>
      <xdr:spPr>
        <a:xfrm>
          <a:off x="111442500" y="156860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95250</xdr:colOff>
      <xdr:row>84</xdr:row>
      <xdr:rowOff>95250</xdr:rowOff>
    </xdr:from>
    <xdr:to>
      <xdr:col>118</xdr:col>
      <xdr:colOff>11728450</xdr:colOff>
      <xdr:row>84</xdr:row>
      <xdr:rowOff>336550</xdr:rowOff>
    </xdr:to>
    <xdr:sp macro="" textlink="">
      <xdr:nvSpPr>
        <xdr:cNvPr id="86" name="TextBox 85">
          <a:hlinkClick xmlns:r="http://schemas.openxmlformats.org/officeDocument/2006/relationships" r:id="rId5"/>
        </xdr:cNvPr>
        <xdr:cNvSpPr txBox="1"/>
      </xdr:nvSpPr>
      <xdr:spPr>
        <a:xfrm>
          <a:off x="111442500" y="156860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127000</xdr:colOff>
      <xdr:row>85</xdr:row>
      <xdr:rowOff>95250</xdr:rowOff>
    </xdr:from>
    <xdr:to>
      <xdr:col>118</xdr:col>
      <xdr:colOff>11760200</xdr:colOff>
      <xdr:row>85</xdr:row>
      <xdr:rowOff>336550</xdr:rowOff>
    </xdr:to>
    <xdr:sp macro="" textlink="">
      <xdr:nvSpPr>
        <xdr:cNvPr id="87" name="TextBox 86">
          <a:hlinkClick xmlns:r="http://schemas.openxmlformats.org/officeDocument/2006/relationships" r:id="rId5"/>
        </xdr:cNvPr>
        <xdr:cNvSpPr txBox="1"/>
      </xdr:nvSpPr>
      <xdr:spPr>
        <a:xfrm>
          <a:off x="111474250" y="1738947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79375</xdr:colOff>
      <xdr:row>87</xdr:row>
      <xdr:rowOff>571500</xdr:rowOff>
    </xdr:from>
    <xdr:to>
      <xdr:col>118</xdr:col>
      <xdr:colOff>11712575</xdr:colOff>
      <xdr:row>87</xdr:row>
      <xdr:rowOff>812800</xdr:rowOff>
    </xdr:to>
    <xdr:sp macro="" textlink="">
      <xdr:nvSpPr>
        <xdr:cNvPr id="88" name="TextBox 87">
          <a:hlinkClick xmlns:r="http://schemas.openxmlformats.org/officeDocument/2006/relationships" r:id="rId6"/>
        </xdr:cNvPr>
        <xdr:cNvSpPr txBox="1"/>
      </xdr:nvSpPr>
      <xdr:spPr>
        <a:xfrm>
          <a:off x="111426625" y="1819433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http://epa.gov/nrmrl/pubs/625r92013/625r92013.htm</a:t>
          </a:r>
        </a:p>
      </xdr:txBody>
    </xdr:sp>
    <xdr:clientData/>
  </xdr:twoCellAnchor>
  <xdr:twoCellAnchor>
    <xdr:from>
      <xdr:col>118</xdr:col>
      <xdr:colOff>127000</xdr:colOff>
      <xdr:row>83</xdr:row>
      <xdr:rowOff>269875</xdr:rowOff>
    </xdr:from>
    <xdr:to>
      <xdr:col>118</xdr:col>
      <xdr:colOff>11760200</xdr:colOff>
      <xdr:row>83</xdr:row>
      <xdr:rowOff>511175</xdr:rowOff>
    </xdr:to>
    <xdr:sp macro="" textlink="">
      <xdr:nvSpPr>
        <xdr:cNvPr id="89" name="TextBox 88">
          <a:hlinkClick xmlns:r="http://schemas.openxmlformats.org/officeDocument/2006/relationships" r:id="rId5"/>
        </xdr:cNvPr>
        <xdr:cNvSpPr txBox="1"/>
      </xdr:nvSpPr>
      <xdr:spPr>
        <a:xfrm>
          <a:off x="111474250" y="1678940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168275</xdr:colOff>
      <xdr:row>83</xdr:row>
      <xdr:rowOff>1073150</xdr:rowOff>
    </xdr:from>
    <xdr:to>
      <xdr:col>118</xdr:col>
      <xdr:colOff>11801475</xdr:colOff>
      <xdr:row>83</xdr:row>
      <xdr:rowOff>1314450</xdr:rowOff>
    </xdr:to>
    <xdr:sp macro="" textlink="">
      <xdr:nvSpPr>
        <xdr:cNvPr id="90" name="TextBox 89">
          <a:hlinkClick xmlns:r="http://schemas.openxmlformats.org/officeDocument/2006/relationships" r:id="rId7"/>
        </xdr:cNvPr>
        <xdr:cNvSpPr txBox="1"/>
      </xdr:nvSpPr>
      <xdr:spPr>
        <a:xfrm>
          <a:off x="111515525" y="1686972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https://www.federalregister.gov/articles/2011/03/21/2011-4495/standards-of-performance-for-new-stationary-sources-and-emission-guidelines-for-existing-sources</a:t>
          </a:r>
        </a:p>
      </xdr:txBody>
    </xdr:sp>
    <xdr:clientData/>
  </xdr:twoCellAnchor>
  <xdr:twoCellAnchor>
    <xdr:from>
      <xdr:col>118</xdr:col>
      <xdr:colOff>177800</xdr:colOff>
      <xdr:row>83</xdr:row>
      <xdr:rowOff>749300</xdr:rowOff>
    </xdr:from>
    <xdr:to>
      <xdr:col>118</xdr:col>
      <xdr:colOff>11811000</xdr:colOff>
      <xdr:row>83</xdr:row>
      <xdr:rowOff>990600</xdr:rowOff>
    </xdr:to>
    <xdr:sp macro="" textlink="">
      <xdr:nvSpPr>
        <xdr:cNvPr id="91" name="TextBox 90">
          <a:hlinkClick xmlns:r="http://schemas.openxmlformats.org/officeDocument/2006/relationships" r:id="rId4"/>
        </xdr:cNvPr>
        <xdr:cNvSpPr txBox="1"/>
      </xdr:nvSpPr>
      <xdr:spPr>
        <a:xfrm>
          <a:off x="111525050" y="1683734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http://water.epa.gov/scitech/wastetech/mtbfact.cfm</a:t>
          </a:r>
        </a:p>
      </xdr:txBody>
    </xdr:sp>
    <xdr:clientData/>
  </xdr:twoCellAnchor>
  <xdr:twoCellAnchor>
    <xdr:from>
      <xdr:col>118</xdr:col>
      <xdr:colOff>184150</xdr:colOff>
      <xdr:row>82</xdr:row>
      <xdr:rowOff>1057275</xdr:rowOff>
    </xdr:from>
    <xdr:to>
      <xdr:col>118</xdr:col>
      <xdr:colOff>11817350</xdr:colOff>
      <xdr:row>82</xdr:row>
      <xdr:rowOff>1298575</xdr:rowOff>
    </xdr:to>
    <xdr:sp macro="" textlink="">
      <xdr:nvSpPr>
        <xdr:cNvPr id="92" name="TextBox 91">
          <a:hlinkClick xmlns:r="http://schemas.openxmlformats.org/officeDocument/2006/relationships" r:id="rId4"/>
        </xdr:cNvPr>
        <xdr:cNvSpPr txBox="1"/>
      </xdr:nvSpPr>
      <xdr:spPr>
        <a:xfrm>
          <a:off x="111531400" y="163474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http://water.epa.gov/scitech/wastetech/mtbfact.cfm</a:t>
          </a:r>
        </a:p>
      </xdr:txBody>
    </xdr:sp>
    <xdr:clientData/>
  </xdr:twoCellAnchor>
  <xdr:twoCellAnchor>
    <xdr:from>
      <xdr:col>118</xdr:col>
      <xdr:colOff>146050</xdr:colOff>
      <xdr:row>82</xdr:row>
      <xdr:rowOff>273050</xdr:rowOff>
    </xdr:from>
    <xdr:to>
      <xdr:col>118</xdr:col>
      <xdr:colOff>11779250</xdr:colOff>
      <xdr:row>82</xdr:row>
      <xdr:rowOff>514350</xdr:rowOff>
    </xdr:to>
    <xdr:sp macro="" textlink="">
      <xdr:nvSpPr>
        <xdr:cNvPr id="93" name="TextBox 92">
          <a:hlinkClick xmlns:r="http://schemas.openxmlformats.org/officeDocument/2006/relationships" r:id="rId5"/>
        </xdr:cNvPr>
        <xdr:cNvSpPr txBox="1"/>
      </xdr:nvSpPr>
      <xdr:spPr>
        <a:xfrm>
          <a:off x="111493300" y="1626901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http://water.epa.gov/scitech/wastetech/biosolids/503pe_index.cfm</a:t>
          </a:r>
        </a:p>
      </xdr:txBody>
    </xdr:sp>
    <xdr:clientData/>
  </xdr:twoCellAnchor>
  <xdr:twoCellAnchor>
    <xdr:from>
      <xdr:col>118</xdr:col>
      <xdr:colOff>139700</xdr:colOff>
      <xdr:row>82</xdr:row>
      <xdr:rowOff>742950</xdr:rowOff>
    </xdr:from>
    <xdr:to>
      <xdr:col>118</xdr:col>
      <xdr:colOff>11772900</xdr:colOff>
      <xdr:row>82</xdr:row>
      <xdr:rowOff>984250</xdr:rowOff>
    </xdr:to>
    <xdr:sp macro="" textlink="">
      <xdr:nvSpPr>
        <xdr:cNvPr id="94" name="TextBox 93">
          <a:hlinkClick xmlns:r="http://schemas.openxmlformats.org/officeDocument/2006/relationships" r:id="rId4"/>
        </xdr:cNvPr>
        <xdr:cNvSpPr txBox="1"/>
      </xdr:nvSpPr>
      <xdr:spPr>
        <a:xfrm>
          <a:off x="111486950" y="1631600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http://water.epa.gov/scitech/wastetech/mtbfact.cfm</a:t>
          </a:r>
        </a:p>
      </xdr:txBody>
    </xdr:sp>
    <xdr:clientData/>
  </xdr:twoCellAnchor>
  <xdr:twoCellAnchor>
    <xdr:from>
      <xdr:col>118</xdr:col>
      <xdr:colOff>127000</xdr:colOff>
      <xdr:row>66</xdr:row>
      <xdr:rowOff>95250</xdr:rowOff>
    </xdr:from>
    <xdr:to>
      <xdr:col>118</xdr:col>
      <xdr:colOff>11760200</xdr:colOff>
      <xdr:row>66</xdr:row>
      <xdr:rowOff>336550</xdr:rowOff>
    </xdr:to>
    <xdr:sp macro="" textlink="">
      <xdr:nvSpPr>
        <xdr:cNvPr id="95" name="TextBox 94">
          <a:hlinkClick xmlns:r="http://schemas.openxmlformats.org/officeDocument/2006/relationships" r:id="rId8"/>
        </xdr:cNvPr>
        <xdr:cNvSpPr txBox="1"/>
      </xdr:nvSpPr>
      <xdr:spPr>
        <a:xfrm>
          <a:off x="111474250" y="1475581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http://water.epa.gov/type/groundwater/uic/basicinformation.cfm</a:t>
          </a:r>
        </a:p>
      </xdr:txBody>
    </xdr:sp>
    <xdr:clientData/>
  </xdr:twoCellAnchor>
  <xdr:twoCellAnchor>
    <xdr:from>
      <xdr:col>118</xdr:col>
      <xdr:colOff>111125</xdr:colOff>
      <xdr:row>56</xdr:row>
      <xdr:rowOff>111125</xdr:rowOff>
    </xdr:from>
    <xdr:to>
      <xdr:col>118</xdr:col>
      <xdr:colOff>11744325</xdr:colOff>
      <xdr:row>56</xdr:row>
      <xdr:rowOff>352425</xdr:rowOff>
    </xdr:to>
    <xdr:sp macro="" textlink="">
      <xdr:nvSpPr>
        <xdr:cNvPr id="96" name="TextBox 95">
          <a:hlinkClick xmlns:r="http://schemas.openxmlformats.org/officeDocument/2006/relationships" r:id="rId9"/>
        </xdr:cNvPr>
        <xdr:cNvSpPr txBox="1"/>
      </xdr:nvSpPr>
      <xdr:spPr>
        <a:xfrm>
          <a:off x="111458375" y="135445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55</xdr:row>
      <xdr:rowOff>111125</xdr:rowOff>
    </xdr:from>
    <xdr:to>
      <xdr:col>118</xdr:col>
      <xdr:colOff>11744325</xdr:colOff>
      <xdr:row>55</xdr:row>
      <xdr:rowOff>352425</xdr:rowOff>
    </xdr:to>
    <xdr:sp macro="" textlink="">
      <xdr:nvSpPr>
        <xdr:cNvPr id="97" name="TextBox 96">
          <a:hlinkClick xmlns:r="http://schemas.openxmlformats.org/officeDocument/2006/relationships" r:id="rId9"/>
        </xdr:cNvPr>
        <xdr:cNvSpPr txBox="1"/>
      </xdr:nvSpPr>
      <xdr:spPr>
        <a:xfrm>
          <a:off x="111458375" y="133921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54</xdr:row>
      <xdr:rowOff>111125</xdr:rowOff>
    </xdr:from>
    <xdr:to>
      <xdr:col>118</xdr:col>
      <xdr:colOff>11744325</xdr:colOff>
      <xdr:row>54</xdr:row>
      <xdr:rowOff>352425</xdr:rowOff>
    </xdr:to>
    <xdr:sp macro="" textlink="">
      <xdr:nvSpPr>
        <xdr:cNvPr id="98" name="TextBox 97">
          <a:hlinkClick xmlns:r="http://schemas.openxmlformats.org/officeDocument/2006/relationships" r:id="rId9"/>
        </xdr:cNvPr>
        <xdr:cNvSpPr txBox="1"/>
      </xdr:nvSpPr>
      <xdr:spPr>
        <a:xfrm>
          <a:off x="111458375" y="135445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52</xdr:row>
      <xdr:rowOff>111125</xdr:rowOff>
    </xdr:from>
    <xdr:to>
      <xdr:col>118</xdr:col>
      <xdr:colOff>11744325</xdr:colOff>
      <xdr:row>52</xdr:row>
      <xdr:rowOff>352425</xdr:rowOff>
    </xdr:to>
    <xdr:sp macro="" textlink="">
      <xdr:nvSpPr>
        <xdr:cNvPr id="99" name="TextBox 98">
          <a:hlinkClick xmlns:r="http://schemas.openxmlformats.org/officeDocument/2006/relationships" r:id="rId9"/>
        </xdr:cNvPr>
        <xdr:cNvSpPr txBox="1"/>
      </xdr:nvSpPr>
      <xdr:spPr>
        <a:xfrm>
          <a:off x="111458375" y="128968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120650</xdr:colOff>
      <xdr:row>53</xdr:row>
      <xdr:rowOff>104775</xdr:rowOff>
    </xdr:from>
    <xdr:to>
      <xdr:col>118</xdr:col>
      <xdr:colOff>11753850</xdr:colOff>
      <xdr:row>53</xdr:row>
      <xdr:rowOff>346075</xdr:rowOff>
    </xdr:to>
    <xdr:sp macro="" textlink="">
      <xdr:nvSpPr>
        <xdr:cNvPr id="100" name="TextBox 99">
          <a:hlinkClick xmlns:r="http://schemas.openxmlformats.org/officeDocument/2006/relationships" r:id="rId9"/>
        </xdr:cNvPr>
        <xdr:cNvSpPr txBox="1"/>
      </xdr:nvSpPr>
      <xdr:spPr>
        <a:xfrm>
          <a:off x="111467900" y="130708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43</xdr:row>
      <xdr:rowOff>111125</xdr:rowOff>
    </xdr:from>
    <xdr:to>
      <xdr:col>118</xdr:col>
      <xdr:colOff>11744325</xdr:colOff>
      <xdr:row>43</xdr:row>
      <xdr:rowOff>352425</xdr:rowOff>
    </xdr:to>
    <xdr:sp macro="" textlink="">
      <xdr:nvSpPr>
        <xdr:cNvPr id="101" name="TextBox 100">
          <a:hlinkClick xmlns:r="http://schemas.openxmlformats.org/officeDocument/2006/relationships" r:id="rId9"/>
        </xdr:cNvPr>
        <xdr:cNvSpPr txBox="1"/>
      </xdr:nvSpPr>
      <xdr:spPr>
        <a:xfrm>
          <a:off x="111458375" y="135445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44</xdr:row>
      <xdr:rowOff>111125</xdr:rowOff>
    </xdr:from>
    <xdr:to>
      <xdr:col>118</xdr:col>
      <xdr:colOff>11744325</xdr:colOff>
      <xdr:row>44</xdr:row>
      <xdr:rowOff>352425</xdr:rowOff>
    </xdr:to>
    <xdr:sp macro="" textlink="">
      <xdr:nvSpPr>
        <xdr:cNvPr id="102" name="TextBox 101">
          <a:hlinkClick xmlns:r="http://schemas.openxmlformats.org/officeDocument/2006/relationships" r:id="rId9"/>
        </xdr:cNvPr>
        <xdr:cNvSpPr txBox="1"/>
      </xdr:nvSpPr>
      <xdr:spPr>
        <a:xfrm>
          <a:off x="111458375" y="135445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120650</xdr:colOff>
      <xdr:row>47</xdr:row>
      <xdr:rowOff>104775</xdr:rowOff>
    </xdr:from>
    <xdr:to>
      <xdr:col>118</xdr:col>
      <xdr:colOff>11753850</xdr:colOff>
      <xdr:row>47</xdr:row>
      <xdr:rowOff>346075</xdr:rowOff>
    </xdr:to>
    <xdr:sp macro="" textlink="">
      <xdr:nvSpPr>
        <xdr:cNvPr id="103" name="TextBox 102">
          <a:hlinkClick xmlns:r="http://schemas.openxmlformats.org/officeDocument/2006/relationships" r:id="rId9"/>
        </xdr:cNvPr>
        <xdr:cNvSpPr txBox="1"/>
      </xdr:nvSpPr>
      <xdr:spPr>
        <a:xfrm>
          <a:off x="111467900" y="116865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98425</xdr:colOff>
      <xdr:row>51</xdr:row>
      <xdr:rowOff>114300</xdr:rowOff>
    </xdr:from>
    <xdr:to>
      <xdr:col>118</xdr:col>
      <xdr:colOff>11731625</xdr:colOff>
      <xdr:row>51</xdr:row>
      <xdr:rowOff>355600</xdr:rowOff>
    </xdr:to>
    <xdr:sp macro="" textlink="">
      <xdr:nvSpPr>
        <xdr:cNvPr id="104" name="TextBox 103">
          <a:hlinkClick xmlns:r="http://schemas.openxmlformats.org/officeDocument/2006/relationships" r:id="rId9"/>
        </xdr:cNvPr>
        <xdr:cNvSpPr txBox="1"/>
      </xdr:nvSpPr>
      <xdr:spPr>
        <a:xfrm>
          <a:off x="111445675" y="127241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107950</xdr:colOff>
      <xdr:row>50</xdr:row>
      <xdr:rowOff>107950</xdr:rowOff>
    </xdr:from>
    <xdr:to>
      <xdr:col>118</xdr:col>
      <xdr:colOff>11741150</xdr:colOff>
      <xdr:row>50</xdr:row>
      <xdr:rowOff>349250</xdr:rowOff>
    </xdr:to>
    <xdr:sp macro="" textlink="">
      <xdr:nvSpPr>
        <xdr:cNvPr id="105" name="TextBox 104">
          <a:hlinkClick xmlns:r="http://schemas.openxmlformats.org/officeDocument/2006/relationships" r:id="rId9"/>
        </xdr:cNvPr>
        <xdr:cNvSpPr txBox="1"/>
      </xdr:nvSpPr>
      <xdr:spPr>
        <a:xfrm>
          <a:off x="111455200" y="1245203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117475</xdr:colOff>
      <xdr:row>49</xdr:row>
      <xdr:rowOff>117475</xdr:rowOff>
    </xdr:from>
    <xdr:to>
      <xdr:col>118</xdr:col>
      <xdr:colOff>11750675</xdr:colOff>
      <xdr:row>49</xdr:row>
      <xdr:rowOff>358775</xdr:rowOff>
    </xdr:to>
    <xdr:sp macro="" textlink="">
      <xdr:nvSpPr>
        <xdr:cNvPr id="106" name="TextBox 105">
          <a:hlinkClick xmlns:r="http://schemas.openxmlformats.org/officeDocument/2006/relationships" r:id="rId9"/>
        </xdr:cNvPr>
        <xdr:cNvSpPr txBox="1"/>
      </xdr:nvSpPr>
      <xdr:spPr>
        <a:xfrm>
          <a:off x="111464725" y="1224343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111125</xdr:colOff>
      <xdr:row>48</xdr:row>
      <xdr:rowOff>111125</xdr:rowOff>
    </xdr:from>
    <xdr:to>
      <xdr:col>118</xdr:col>
      <xdr:colOff>11744325</xdr:colOff>
      <xdr:row>48</xdr:row>
      <xdr:rowOff>352425</xdr:rowOff>
    </xdr:to>
    <xdr:sp macro="" textlink="">
      <xdr:nvSpPr>
        <xdr:cNvPr id="107" name="TextBox 106">
          <a:hlinkClick xmlns:r="http://schemas.openxmlformats.org/officeDocument/2006/relationships" r:id="rId9"/>
        </xdr:cNvPr>
        <xdr:cNvSpPr txBox="1"/>
      </xdr:nvSpPr>
      <xdr:spPr>
        <a:xfrm>
          <a:off x="111458375" y="1202690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114300</xdr:colOff>
      <xdr:row>46</xdr:row>
      <xdr:rowOff>114300</xdr:rowOff>
    </xdr:from>
    <xdr:to>
      <xdr:col>118</xdr:col>
      <xdr:colOff>11747500</xdr:colOff>
      <xdr:row>46</xdr:row>
      <xdr:rowOff>355600</xdr:rowOff>
    </xdr:to>
    <xdr:sp macro="" textlink="">
      <xdr:nvSpPr>
        <xdr:cNvPr id="108" name="TextBox 107">
          <a:hlinkClick xmlns:r="http://schemas.openxmlformats.org/officeDocument/2006/relationships" r:id="rId9"/>
        </xdr:cNvPr>
        <xdr:cNvSpPr txBox="1"/>
      </xdr:nvSpPr>
      <xdr:spPr>
        <a:xfrm>
          <a:off x="111461550" y="1147000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107950</xdr:colOff>
      <xdr:row>45</xdr:row>
      <xdr:rowOff>107950</xdr:rowOff>
    </xdr:from>
    <xdr:to>
      <xdr:col>118</xdr:col>
      <xdr:colOff>11741150</xdr:colOff>
      <xdr:row>45</xdr:row>
      <xdr:rowOff>349250</xdr:rowOff>
    </xdr:to>
    <xdr:sp macro="" textlink="">
      <xdr:nvSpPr>
        <xdr:cNvPr id="109" name="TextBox 108">
          <a:hlinkClick xmlns:r="http://schemas.openxmlformats.org/officeDocument/2006/relationships" r:id="rId9"/>
        </xdr:cNvPr>
        <xdr:cNvSpPr txBox="1"/>
      </xdr:nvSpPr>
      <xdr:spPr>
        <a:xfrm>
          <a:off x="111455200" y="1122965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120650</xdr:colOff>
      <xdr:row>42</xdr:row>
      <xdr:rowOff>104775</xdr:rowOff>
    </xdr:from>
    <xdr:to>
      <xdr:col>118</xdr:col>
      <xdr:colOff>11753850</xdr:colOff>
      <xdr:row>42</xdr:row>
      <xdr:rowOff>346075</xdr:rowOff>
    </xdr:to>
    <xdr:sp macro="" textlink="">
      <xdr:nvSpPr>
        <xdr:cNvPr id="110" name="TextBox 109">
          <a:hlinkClick xmlns:r="http://schemas.openxmlformats.org/officeDocument/2006/relationships" r:id="rId9"/>
        </xdr:cNvPr>
        <xdr:cNvSpPr txBox="1"/>
      </xdr:nvSpPr>
      <xdr:spPr>
        <a:xfrm>
          <a:off x="111467900" y="1070070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twoCellAnchor>
    <xdr:from>
      <xdr:col>118</xdr:col>
      <xdr:colOff>165100</xdr:colOff>
      <xdr:row>37</xdr:row>
      <xdr:rowOff>593725</xdr:rowOff>
    </xdr:from>
    <xdr:to>
      <xdr:col>118</xdr:col>
      <xdr:colOff>11798300</xdr:colOff>
      <xdr:row>37</xdr:row>
      <xdr:rowOff>835025</xdr:rowOff>
    </xdr:to>
    <xdr:sp macro="" textlink="">
      <xdr:nvSpPr>
        <xdr:cNvPr id="112" name="TextBox 111">
          <a:hlinkClick xmlns:r="http://schemas.openxmlformats.org/officeDocument/2006/relationships" r:id="rId10"/>
        </xdr:cNvPr>
        <xdr:cNvSpPr txBox="1"/>
      </xdr:nvSpPr>
      <xdr:spPr>
        <a:xfrm>
          <a:off x="111512350" y="941927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http://www.floatingislandswest.com/</a:t>
          </a:r>
        </a:p>
      </xdr:txBody>
    </xdr:sp>
    <xdr:clientData/>
  </xdr:twoCellAnchor>
  <xdr:twoCellAnchor>
    <xdr:from>
      <xdr:col>118</xdr:col>
      <xdr:colOff>174625</xdr:colOff>
      <xdr:row>37</xdr:row>
      <xdr:rowOff>269875</xdr:rowOff>
    </xdr:from>
    <xdr:to>
      <xdr:col>118</xdr:col>
      <xdr:colOff>11807825</xdr:colOff>
      <xdr:row>37</xdr:row>
      <xdr:rowOff>511175</xdr:rowOff>
    </xdr:to>
    <xdr:sp macro="" textlink="">
      <xdr:nvSpPr>
        <xdr:cNvPr id="113" name="TextBox 112">
          <a:hlinkClick xmlns:r="http://schemas.openxmlformats.org/officeDocument/2006/relationships" r:id="rId10"/>
        </xdr:cNvPr>
        <xdr:cNvSpPr txBox="1"/>
      </xdr:nvSpPr>
      <xdr:spPr>
        <a:xfrm>
          <a:off x="111521875" y="93868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http://www.floatingislandinternational.com/</a:t>
          </a:r>
        </a:p>
      </xdr:txBody>
    </xdr:sp>
    <xdr:clientData/>
  </xdr:twoCellAnchor>
  <xdr:twoCellAnchor>
    <xdr:from>
      <xdr:col>118</xdr:col>
      <xdr:colOff>168275</xdr:colOff>
      <xdr:row>34</xdr:row>
      <xdr:rowOff>263525</xdr:rowOff>
    </xdr:from>
    <xdr:to>
      <xdr:col>118</xdr:col>
      <xdr:colOff>11801475</xdr:colOff>
      <xdr:row>34</xdr:row>
      <xdr:rowOff>504825</xdr:rowOff>
    </xdr:to>
    <xdr:sp macro="" textlink="">
      <xdr:nvSpPr>
        <xdr:cNvPr id="114" name="TextBox 113">
          <a:hlinkClick xmlns:r="http://schemas.openxmlformats.org/officeDocument/2006/relationships" r:id="rId11"/>
        </xdr:cNvPr>
        <xdr:cNvSpPr txBox="1"/>
      </xdr:nvSpPr>
      <xdr:spPr>
        <a:xfrm>
          <a:off x="111515525" y="839565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http://www.mass.gov/envir/smart_growth_toolkit/pages/mod-tdr.html</a:t>
          </a:r>
        </a:p>
      </xdr:txBody>
    </xdr:sp>
    <xdr:clientData/>
  </xdr:twoCellAnchor>
  <xdr:twoCellAnchor>
    <xdr:from>
      <xdr:col>118</xdr:col>
      <xdr:colOff>146050</xdr:colOff>
      <xdr:row>30</xdr:row>
      <xdr:rowOff>98425</xdr:rowOff>
    </xdr:from>
    <xdr:to>
      <xdr:col>118</xdr:col>
      <xdr:colOff>11779250</xdr:colOff>
      <xdr:row>30</xdr:row>
      <xdr:rowOff>339725</xdr:rowOff>
    </xdr:to>
    <xdr:sp macro="" textlink="">
      <xdr:nvSpPr>
        <xdr:cNvPr id="115" name="TextBox 114">
          <a:hlinkClick xmlns:r="http://schemas.openxmlformats.org/officeDocument/2006/relationships" r:id="rId12"/>
        </xdr:cNvPr>
        <xdr:cNvSpPr txBox="1"/>
      </xdr:nvSpPr>
      <xdr:spPr>
        <a:xfrm>
          <a:off x="111493300" y="689959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http://www.pleasantbay.org/wp-content/uploads/101216_FinalReport_10002.pdf</a:t>
          </a:r>
        </a:p>
      </xdr:txBody>
    </xdr:sp>
    <xdr:clientData/>
  </xdr:twoCellAnchor>
  <xdr:twoCellAnchor>
    <xdr:from>
      <xdr:col>118</xdr:col>
      <xdr:colOff>171450</xdr:colOff>
      <xdr:row>31</xdr:row>
      <xdr:rowOff>885825</xdr:rowOff>
    </xdr:from>
    <xdr:to>
      <xdr:col>118</xdr:col>
      <xdr:colOff>11804650</xdr:colOff>
      <xdr:row>31</xdr:row>
      <xdr:rowOff>1127125</xdr:rowOff>
    </xdr:to>
    <xdr:sp macro="" textlink="">
      <xdr:nvSpPr>
        <xdr:cNvPr id="116" name="TextBox 115">
          <a:hlinkClick xmlns:r="http://schemas.openxmlformats.org/officeDocument/2006/relationships" r:id="rId13"/>
        </xdr:cNvPr>
        <xdr:cNvSpPr txBox="1"/>
      </xdr:nvSpPr>
      <xdr:spPr>
        <a:xfrm>
          <a:off x="111518700" y="730535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http://www.stormwaterpa.org/assets/media/BMP_manual/chapter_5/Chapter_5-7-1.pdf</a:t>
          </a:r>
        </a:p>
      </xdr:txBody>
    </xdr:sp>
    <xdr:clientData/>
  </xdr:twoCellAnchor>
  <xdr:twoCellAnchor>
    <xdr:from>
      <xdr:col>118</xdr:col>
      <xdr:colOff>180975</xdr:colOff>
      <xdr:row>29</xdr:row>
      <xdr:rowOff>276225</xdr:rowOff>
    </xdr:from>
    <xdr:to>
      <xdr:col>118</xdr:col>
      <xdr:colOff>11814175</xdr:colOff>
      <xdr:row>29</xdr:row>
      <xdr:rowOff>517525</xdr:rowOff>
    </xdr:to>
    <xdr:sp macro="" textlink="">
      <xdr:nvSpPr>
        <xdr:cNvPr id="117" name="TextBox 116">
          <a:hlinkClick xmlns:r="http://schemas.openxmlformats.org/officeDocument/2006/relationships" r:id="rId14"/>
        </xdr:cNvPr>
        <xdr:cNvSpPr txBox="1"/>
      </xdr:nvSpPr>
      <xdr:spPr>
        <a:xfrm>
          <a:off x="111528225" y="670782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http://mvgazette.com/news/2011/12/01/composting-toilets-pitched-better-sewers-protecting-ponds?k=vg524595282974b&amp;r=1</a:t>
          </a:r>
        </a:p>
      </xdr:txBody>
    </xdr:sp>
    <xdr:clientData/>
  </xdr:twoCellAnchor>
  <xdr:twoCellAnchor>
    <xdr:from>
      <xdr:col>118</xdr:col>
      <xdr:colOff>142875</xdr:colOff>
      <xdr:row>28</xdr:row>
      <xdr:rowOff>95250</xdr:rowOff>
    </xdr:from>
    <xdr:to>
      <xdr:col>118</xdr:col>
      <xdr:colOff>11776075</xdr:colOff>
      <xdr:row>28</xdr:row>
      <xdr:rowOff>336550</xdr:rowOff>
    </xdr:to>
    <xdr:sp macro="" textlink="">
      <xdr:nvSpPr>
        <xdr:cNvPr id="118" name="TextBox 117">
          <a:hlinkClick xmlns:r="http://schemas.openxmlformats.org/officeDocument/2006/relationships" r:id="rId15"/>
        </xdr:cNvPr>
        <xdr:cNvSpPr txBox="1"/>
      </xdr:nvSpPr>
      <xdr:spPr>
        <a:xfrm>
          <a:off x="111490125" y="651033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http://richearthinstitute.org/?page_id=739</a:t>
          </a:r>
        </a:p>
      </xdr:txBody>
    </xdr:sp>
    <xdr:clientData/>
  </xdr:twoCellAnchor>
  <xdr:twoCellAnchor>
    <xdr:from>
      <xdr:col>118</xdr:col>
      <xdr:colOff>152400</xdr:colOff>
      <xdr:row>27</xdr:row>
      <xdr:rowOff>723900</xdr:rowOff>
    </xdr:from>
    <xdr:to>
      <xdr:col>118</xdr:col>
      <xdr:colOff>11785600</xdr:colOff>
      <xdr:row>27</xdr:row>
      <xdr:rowOff>965200</xdr:rowOff>
    </xdr:to>
    <xdr:sp macro="" textlink="">
      <xdr:nvSpPr>
        <xdr:cNvPr id="119" name="TextBox 118">
          <a:hlinkClick xmlns:r="http://schemas.openxmlformats.org/officeDocument/2006/relationships" r:id="rId16"/>
        </xdr:cNvPr>
        <xdr:cNvSpPr txBox="1"/>
      </xdr:nvSpPr>
      <xdr:spPr>
        <a:xfrm>
          <a:off x="111499650" y="633349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http://www.incinolet.com/</a:t>
          </a:r>
        </a:p>
      </xdr:txBody>
    </xdr:sp>
    <xdr:clientData/>
  </xdr:twoCellAnchor>
  <xdr:twoCellAnchor>
    <xdr:from>
      <xdr:col>118</xdr:col>
      <xdr:colOff>146050</xdr:colOff>
      <xdr:row>20</xdr:row>
      <xdr:rowOff>123825</xdr:rowOff>
    </xdr:from>
    <xdr:to>
      <xdr:col>118</xdr:col>
      <xdr:colOff>11779250</xdr:colOff>
      <xdr:row>20</xdr:row>
      <xdr:rowOff>365125</xdr:rowOff>
    </xdr:to>
    <xdr:sp macro="" textlink="">
      <xdr:nvSpPr>
        <xdr:cNvPr id="120" name="TextBox 119">
          <a:hlinkClick xmlns:r="http://schemas.openxmlformats.org/officeDocument/2006/relationships" r:id="rId17"/>
        </xdr:cNvPr>
        <xdr:cNvSpPr txBox="1"/>
      </xdr:nvSpPr>
      <xdr:spPr>
        <a:xfrm>
          <a:off x="111906050" y="469106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http://www.clu-in.org/conf/itrc/prbtu/prez/ITRC_PRBUpdate_092012ibtpdf.pdf</a:t>
          </a:r>
        </a:p>
      </xdr:txBody>
    </xdr:sp>
    <xdr:clientData/>
  </xdr:twoCellAnchor>
  <xdr:twoCellAnchor>
    <xdr:from>
      <xdr:col>118</xdr:col>
      <xdr:colOff>139700</xdr:colOff>
      <xdr:row>19</xdr:row>
      <xdr:rowOff>92075</xdr:rowOff>
    </xdr:from>
    <xdr:to>
      <xdr:col>118</xdr:col>
      <xdr:colOff>11772900</xdr:colOff>
      <xdr:row>19</xdr:row>
      <xdr:rowOff>333375</xdr:rowOff>
    </xdr:to>
    <xdr:sp macro="" textlink="">
      <xdr:nvSpPr>
        <xdr:cNvPr id="121" name="TextBox 120">
          <a:hlinkClick xmlns:r="http://schemas.openxmlformats.org/officeDocument/2006/relationships" r:id="rId18"/>
        </xdr:cNvPr>
        <xdr:cNvSpPr txBox="1"/>
      </xdr:nvSpPr>
      <xdr:spPr>
        <a:xfrm>
          <a:off x="111486950" y="444468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http://sand-creek.com/</a:t>
          </a:r>
        </a:p>
      </xdr:txBody>
    </xdr:sp>
    <xdr:clientData/>
  </xdr:twoCellAnchor>
  <xdr:twoCellAnchor>
    <xdr:from>
      <xdr:col>118</xdr:col>
      <xdr:colOff>149225</xdr:colOff>
      <xdr:row>22</xdr:row>
      <xdr:rowOff>911225</xdr:rowOff>
    </xdr:from>
    <xdr:to>
      <xdr:col>118</xdr:col>
      <xdr:colOff>11782425</xdr:colOff>
      <xdr:row>22</xdr:row>
      <xdr:rowOff>1152525</xdr:rowOff>
    </xdr:to>
    <xdr:sp macro="" textlink="">
      <xdr:nvSpPr>
        <xdr:cNvPr id="122" name="TextBox 121">
          <a:hlinkClick xmlns:r="http://schemas.openxmlformats.org/officeDocument/2006/relationships" r:id="rId19"/>
        </xdr:cNvPr>
        <xdr:cNvSpPr txBox="1"/>
      </xdr:nvSpPr>
      <xdr:spPr>
        <a:xfrm>
          <a:off x="111496475" y="517588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http://ciceet.unh.edu/news/releases/spring08_progress_reports/pdf/vallino.pdf</a:t>
          </a:r>
        </a:p>
      </xdr:txBody>
    </xdr:sp>
    <xdr:clientData/>
  </xdr:twoCellAnchor>
  <xdr:twoCellAnchor>
    <xdr:from>
      <xdr:col>118</xdr:col>
      <xdr:colOff>158750</xdr:colOff>
      <xdr:row>27</xdr:row>
      <xdr:rowOff>111125</xdr:rowOff>
    </xdr:from>
    <xdr:to>
      <xdr:col>118</xdr:col>
      <xdr:colOff>11791950</xdr:colOff>
      <xdr:row>27</xdr:row>
      <xdr:rowOff>352425</xdr:rowOff>
    </xdr:to>
    <xdr:sp macro="" textlink="">
      <xdr:nvSpPr>
        <xdr:cNvPr id="123" name="TextBox 122">
          <a:hlinkClick xmlns:r="http://schemas.openxmlformats.org/officeDocument/2006/relationships" r:id="rId20"/>
        </xdr:cNvPr>
        <xdr:cNvSpPr txBox="1"/>
      </xdr:nvSpPr>
      <xdr:spPr>
        <a:xfrm>
          <a:off x="111506000" y="627221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http://www.barnstablecountyhealth.org/ia-systems/information-center/compendium-of-information-on-alternative-onsite-septic-system-technology/incinerating-toilets</a:t>
          </a:r>
        </a:p>
      </xdr:txBody>
    </xdr:sp>
    <xdr:clientData/>
  </xdr:twoCellAnchor>
  <xdr:twoCellAnchor>
    <xdr:from>
      <xdr:col>118</xdr:col>
      <xdr:colOff>161925</xdr:colOff>
      <xdr:row>34</xdr:row>
      <xdr:rowOff>415925</xdr:rowOff>
    </xdr:from>
    <xdr:to>
      <xdr:col>118</xdr:col>
      <xdr:colOff>11795125</xdr:colOff>
      <xdr:row>34</xdr:row>
      <xdr:rowOff>657225</xdr:rowOff>
    </xdr:to>
    <xdr:sp macro="" textlink="">
      <xdr:nvSpPr>
        <xdr:cNvPr id="125" name="TextBox 124">
          <a:hlinkClick xmlns:r="http://schemas.openxmlformats.org/officeDocument/2006/relationships" r:id="rId21"/>
        </xdr:cNvPr>
        <xdr:cNvSpPr txBox="1"/>
      </xdr:nvSpPr>
      <xdr:spPr>
        <a:xfrm>
          <a:off x="111509175" y="841089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http://www.mass.gov/envir/smart_growth_toolkit/bylaws/TDR-Bylaw.pdf</a:t>
          </a:r>
        </a:p>
      </xdr:txBody>
    </xdr:sp>
    <xdr:clientData/>
  </xdr:twoCellAnchor>
  <xdr:twoCellAnchor>
    <xdr:from>
      <xdr:col>118</xdr:col>
      <xdr:colOff>149225</xdr:colOff>
      <xdr:row>31</xdr:row>
      <xdr:rowOff>1266825</xdr:rowOff>
    </xdr:from>
    <xdr:to>
      <xdr:col>118</xdr:col>
      <xdr:colOff>11782425</xdr:colOff>
      <xdr:row>31</xdr:row>
      <xdr:rowOff>1508125</xdr:rowOff>
    </xdr:to>
    <xdr:sp macro="" textlink="">
      <xdr:nvSpPr>
        <xdr:cNvPr id="126" name="TextBox 125">
          <a:hlinkClick xmlns:r="http://schemas.openxmlformats.org/officeDocument/2006/relationships" r:id="rId22"/>
        </xdr:cNvPr>
        <xdr:cNvSpPr txBox="1"/>
      </xdr:nvSpPr>
      <xdr:spPr>
        <a:xfrm>
          <a:off x="111909225" y="734917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http://www.worldsweeper.com/Street/Studies/CWPStudy/CBStreetSweeping.pdf</a:t>
          </a:r>
        </a:p>
      </xdr:txBody>
    </xdr:sp>
    <xdr:clientData/>
  </xdr:twoCellAnchor>
  <xdr:twoCellAnchor>
    <xdr:from>
      <xdr:col>118</xdr:col>
      <xdr:colOff>158750</xdr:colOff>
      <xdr:row>31</xdr:row>
      <xdr:rowOff>3079750</xdr:rowOff>
    </xdr:from>
    <xdr:to>
      <xdr:col>118</xdr:col>
      <xdr:colOff>11791950</xdr:colOff>
      <xdr:row>31</xdr:row>
      <xdr:rowOff>3321050</xdr:rowOff>
    </xdr:to>
    <xdr:sp macro="" textlink="">
      <xdr:nvSpPr>
        <xdr:cNvPr id="127" name="TextBox 126">
          <a:hlinkClick xmlns:r="http://schemas.openxmlformats.org/officeDocument/2006/relationships" r:id="rId23"/>
        </xdr:cNvPr>
        <xdr:cNvSpPr txBox="1"/>
      </xdr:nvSpPr>
      <xdr:spPr>
        <a:xfrm>
          <a:off x="111918750" y="753046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http://chesapeakestormwater.net/bay-stormwater/baywide-stormwater-policy/urban-stormwater-workgroup/urban-stream-restoration/</a:t>
          </a:r>
        </a:p>
      </xdr:txBody>
    </xdr:sp>
    <xdr:clientData/>
  </xdr:twoCellAnchor>
  <xdr:twoCellAnchor>
    <xdr:from>
      <xdr:col>118</xdr:col>
      <xdr:colOff>152400</xdr:colOff>
      <xdr:row>31</xdr:row>
      <xdr:rowOff>260350</xdr:rowOff>
    </xdr:from>
    <xdr:to>
      <xdr:col>118</xdr:col>
      <xdr:colOff>11785600</xdr:colOff>
      <xdr:row>31</xdr:row>
      <xdr:rowOff>501650</xdr:rowOff>
    </xdr:to>
    <xdr:sp macro="" textlink="">
      <xdr:nvSpPr>
        <xdr:cNvPr id="128" name="TextBox 127">
          <a:hlinkClick xmlns:r="http://schemas.openxmlformats.org/officeDocument/2006/relationships" r:id="rId24"/>
        </xdr:cNvPr>
        <xdr:cNvSpPr txBox="1"/>
      </xdr:nvSpPr>
      <xdr:spPr>
        <a:xfrm>
          <a:off x="111912400" y="724852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http://www.epa.gov/owow/watershed/outreach/documents/getnstep.pdf</a:t>
          </a:r>
        </a:p>
      </xdr:txBody>
    </xdr:sp>
    <xdr:clientData/>
  </xdr:twoCellAnchor>
  <xdr:twoCellAnchor>
    <xdr:from>
      <xdr:col>118</xdr:col>
      <xdr:colOff>114300</xdr:colOff>
      <xdr:row>31</xdr:row>
      <xdr:rowOff>98425</xdr:rowOff>
    </xdr:from>
    <xdr:to>
      <xdr:col>118</xdr:col>
      <xdr:colOff>11747500</xdr:colOff>
      <xdr:row>31</xdr:row>
      <xdr:rowOff>339725</xdr:rowOff>
    </xdr:to>
    <xdr:sp macro="" textlink="">
      <xdr:nvSpPr>
        <xdr:cNvPr id="129" name="TextBox 128">
          <a:hlinkClick xmlns:r="http://schemas.openxmlformats.org/officeDocument/2006/relationships" r:id="rId25"/>
        </xdr:cNvPr>
        <xdr:cNvSpPr txBox="1"/>
      </xdr:nvSpPr>
      <xdr:spPr>
        <a:xfrm>
          <a:off x="111461550" y="722661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http://cfpub.epa.gov/npdes/stormwater/menuofbmps/index.cfm?action=browse&amp;Rbutton=detail&amp;bmp=99 </a:t>
          </a:r>
        </a:p>
      </xdr:txBody>
    </xdr:sp>
    <xdr:clientData/>
  </xdr:twoCellAnchor>
  <xdr:twoCellAnchor>
    <xdr:from>
      <xdr:col>118</xdr:col>
      <xdr:colOff>165100</xdr:colOff>
      <xdr:row>31</xdr:row>
      <xdr:rowOff>593725</xdr:rowOff>
    </xdr:from>
    <xdr:to>
      <xdr:col>118</xdr:col>
      <xdr:colOff>11798300</xdr:colOff>
      <xdr:row>31</xdr:row>
      <xdr:rowOff>835025</xdr:rowOff>
    </xdr:to>
    <xdr:sp macro="" textlink="">
      <xdr:nvSpPr>
        <xdr:cNvPr id="131" name="TextBox 130">
          <a:hlinkClick xmlns:r="http://schemas.openxmlformats.org/officeDocument/2006/relationships" r:id="rId26"/>
        </xdr:cNvPr>
        <xdr:cNvSpPr txBox="1"/>
      </xdr:nvSpPr>
      <xdr:spPr>
        <a:xfrm>
          <a:off x="111512350" y="727614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http://www.cabmphandbooks.com/Documents/Municipal/SC-70.pdf</a:t>
          </a:r>
        </a:p>
      </xdr:txBody>
    </xdr:sp>
    <xdr:clientData/>
  </xdr:twoCellAnchor>
  <xdr:twoCellAnchor>
    <xdr:from>
      <xdr:col>118</xdr:col>
      <xdr:colOff>171450</xdr:colOff>
      <xdr:row>30</xdr:row>
      <xdr:rowOff>425450</xdr:rowOff>
    </xdr:from>
    <xdr:to>
      <xdr:col>118</xdr:col>
      <xdr:colOff>11804650</xdr:colOff>
      <xdr:row>30</xdr:row>
      <xdr:rowOff>666750</xdr:rowOff>
    </xdr:to>
    <xdr:sp macro="" textlink="">
      <xdr:nvSpPr>
        <xdr:cNvPr id="132" name="TextBox 131">
          <a:hlinkClick xmlns:r="http://schemas.openxmlformats.org/officeDocument/2006/relationships" r:id="rId27"/>
        </xdr:cNvPr>
        <xdr:cNvSpPr txBox="1"/>
      </xdr:nvSpPr>
      <xdr:spPr>
        <a:xfrm>
          <a:off x="111518700" y="693229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http://plna.membershipsoftware.org/files/Home%20Page/Final_CBP_Approved_Expert_Panel_Report_on_Urban_Nutrient_Management--short.pdf</a:t>
          </a:r>
        </a:p>
      </xdr:txBody>
    </xdr:sp>
    <xdr:clientData/>
  </xdr:twoCellAnchor>
  <xdr:twoCellAnchor>
    <xdr:from>
      <xdr:col>118</xdr:col>
      <xdr:colOff>146050</xdr:colOff>
      <xdr:row>26</xdr:row>
      <xdr:rowOff>107950</xdr:rowOff>
    </xdr:from>
    <xdr:to>
      <xdr:col>118</xdr:col>
      <xdr:colOff>11779250</xdr:colOff>
      <xdr:row>26</xdr:row>
      <xdr:rowOff>349250</xdr:rowOff>
    </xdr:to>
    <xdr:sp macro="" textlink="">
      <xdr:nvSpPr>
        <xdr:cNvPr id="133" name="TextBox 132">
          <a:hlinkClick xmlns:r="http://schemas.openxmlformats.org/officeDocument/2006/relationships" r:id="rId15"/>
        </xdr:cNvPr>
        <xdr:cNvSpPr txBox="1"/>
      </xdr:nvSpPr>
      <xdr:spPr>
        <a:xfrm>
          <a:off x="111906050" y="589978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http://richearthinstitute.org/?page_id=739</a:t>
          </a:r>
        </a:p>
      </xdr:txBody>
    </xdr:sp>
    <xdr:clientData/>
  </xdr:twoCellAnchor>
  <xdr:twoCellAnchor>
    <xdr:from>
      <xdr:col>118</xdr:col>
      <xdr:colOff>171450</xdr:colOff>
      <xdr:row>27</xdr:row>
      <xdr:rowOff>425450</xdr:rowOff>
    </xdr:from>
    <xdr:to>
      <xdr:col>118</xdr:col>
      <xdr:colOff>11804650</xdr:colOff>
      <xdr:row>27</xdr:row>
      <xdr:rowOff>666750</xdr:rowOff>
    </xdr:to>
    <xdr:sp macro="" textlink="">
      <xdr:nvSpPr>
        <xdr:cNvPr id="134" name="TextBox 133">
          <a:hlinkClick xmlns:r="http://schemas.openxmlformats.org/officeDocument/2006/relationships" r:id="rId28"/>
        </xdr:cNvPr>
        <xdr:cNvSpPr txBox="1"/>
      </xdr:nvSpPr>
      <xdr:spPr>
        <a:xfrm>
          <a:off x="111518700" y="630364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http://www.eco-toilets.com/incinerating-toilets.php</a:t>
          </a:r>
        </a:p>
      </xdr:txBody>
    </xdr:sp>
    <xdr:clientData/>
  </xdr:twoCellAnchor>
  <xdr:twoCellAnchor>
    <xdr:from>
      <xdr:col>118</xdr:col>
      <xdr:colOff>117475</xdr:colOff>
      <xdr:row>26</xdr:row>
      <xdr:rowOff>1568450</xdr:rowOff>
    </xdr:from>
    <xdr:to>
      <xdr:col>118</xdr:col>
      <xdr:colOff>11750675</xdr:colOff>
      <xdr:row>26</xdr:row>
      <xdr:rowOff>1809750</xdr:rowOff>
    </xdr:to>
    <xdr:sp macro="" textlink="">
      <xdr:nvSpPr>
        <xdr:cNvPr id="135" name="TextBox 134">
          <a:hlinkClick xmlns:r="http://schemas.openxmlformats.org/officeDocument/2006/relationships" r:id="rId29"/>
        </xdr:cNvPr>
        <xdr:cNvSpPr txBox="1"/>
      </xdr:nvSpPr>
      <xdr:spPr>
        <a:xfrm>
          <a:off x="111877475" y="604583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http://www.ecosanres.org/pdf_files/ToiletsThatMakeCompost.pdf</a:t>
          </a:r>
        </a:p>
      </xdr:txBody>
    </xdr:sp>
    <xdr:clientData/>
  </xdr:twoCellAnchor>
  <xdr:twoCellAnchor>
    <xdr:from>
      <xdr:col>118</xdr:col>
      <xdr:colOff>174625</xdr:colOff>
      <xdr:row>29</xdr:row>
      <xdr:rowOff>587375</xdr:rowOff>
    </xdr:from>
    <xdr:to>
      <xdr:col>118</xdr:col>
      <xdr:colOff>11807825</xdr:colOff>
      <xdr:row>29</xdr:row>
      <xdr:rowOff>828675</xdr:rowOff>
    </xdr:to>
    <xdr:sp macro="" textlink="">
      <xdr:nvSpPr>
        <xdr:cNvPr id="136" name="TextBox 135">
          <a:hlinkClick xmlns:r="http://schemas.openxmlformats.org/officeDocument/2006/relationships" r:id="rId15"/>
        </xdr:cNvPr>
        <xdr:cNvSpPr txBox="1"/>
      </xdr:nvSpPr>
      <xdr:spPr>
        <a:xfrm>
          <a:off x="111521875" y="673893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http://richearthinstitute.org/?page_id=739</a:t>
          </a:r>
        </a:p>
      </xdr:txBody>
    </xdr:sp>
    <xdr:clientData/>
  </xdr:twoCellAnchor>
  <xdr:twoCellAnchor>
    <xdr:from>
      <xdr:col>118</xdr:col>
      <xdr:colOff>168275</xdr:colOff>
      <xdr:row>29</xdr:row>
      <xdr:rowOff>1079500</xdr:rowOff>
    </xdr:from>
    <xdr:to>
      <xdr:col>118</xdr:col>
      <xdr:colOff>11801475</xdr:colOff>
      <xdr:row>29</xdr:row>
      <xdr:rowOff>1320800</xdr:rowOff>
    </xdr:to>
    <xdr:sp macro="" textlink="">
      <xdr:nvSpPr>
        <xdr:cNvPr id="137" name="TextBox 136">
          <a:hlinkClick xmlns:r="http://schemas.openxmlformats.org/officeDocument/2006/relationships" r:id="rId30"/>
        </xdr:cNvPr>
        <xdr:cNvSpPr txBox="1"/>
      </xdr:nvSpPr>
      <xdr:spPr>
        <a:xfrm>
          <a:off x="111928275" y="67932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http://www.ecosanres.org/pdf_files/Urine_Diversion_2006-1.pdf</a:t>
          </a:r>
        </a:p>
      </xdr:txBody>
    </xdr:sp>
    <xdr:clientData/>
  </xdr:twoCellAnchor>
  <xdr:twoCellAnchor>
    <xdr:from>
      <xdr:col>118</xdr:col>
      <xdr:colOff>177800</xdr:colOff>
      <xdr:row>29</xdr:row>
      <xdr:rowOff>1384300</xdr:rowOff>
    </xdr:from>
    <xdr:to>
      <xdr:col>118</xdr:col>
      <xdr:colOff>11811000</xdr:colOff>
      <xdr:row>29</xdr:row>
      <xdr:rowOff>1625600</xdr:rowOff>
    </xdr:to>
    <xdr:sp macro="" textlink="">
      <xdr:nvSpPr>
        <xdr:cNvPr id="138" name="TextBox 137">
          <a:hlinkClick xmlns:r="http://schemas.openxmlformats.org/officeDocument/2006/relationships" r:id="rId31"/>
        </xdr:cNvPr>
        <xdr:cNvSpPr txBox="1"/>
      </xdr:nvSpPr>
      <xdr:spPr>
        <a:xfrm>
          <a:off x="111525050" y="68186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http://www.ecovita.net/</a:t>
          </a:r>
        </a:p>
      </xdr:txBody>
    </xdr:sp>
    <xdr:clientData/>
  </xdr:twoCellAnchor>
  <xdr:twoCellAnchor>
    <xdr:from>
      <xdr:col>118</xdr:col>
      <xdr:colOff>139700</xdr:colOff>
      <xdr:row>12</xdr:row>
      <xdr:rowOff>266700</xdr:rowOff>
    </xdr:from>
    <xdr:to>
      <xdr:col>118</xdr:col>
      <xdr:colOff>11772900</xdr:colOff>
      <xdr:row>12</xdr:row>
      <xdr:rowOff>508000</xdr:rowOff>
    </xdr:to>
    <xdr:sp macro="" textlink="">
      <xdr:nvSpPr>
        <xdr:cNvPr id="139" name="TextBox 138">
          <a:hlinkClick xmlns:r="http://schemas.openxmlformats.org/officeDocument/2006/relationships" r:id="rId3"/>
        </xdr:cNvPr>
        <xdr:cNvSpPr txBox="1"/>
      </xdr:nvSpPr>
      <xdr:spPr>
        <a:xfrm>
          <a:off x="111486950" y="209518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http://www.unh.edu/unhsc/sites/unh.edu.unhsc/files/Houle_JEE_July-2013.pdf</a:t>
          </a:r>
        </a:p>
      </xdr:txBody>
    </xdr:sp>
    <xdr:clientData/>
  </xdr:twoCellAnchor>
  <xdr:twoCellAnchor>
    <xdr:from>
      <xdr:col>118</xdr:col>
      <xdr:colOff>123825</xdr:colOff>
      <xdr:row>13</xdr:row>
      <xdr:rowOff>584200</xdr:rowOff>
    </xdr:from>
    <xdr:to>
      <xdr:col>118</xdr:col>
      <xdr:colOff>11757025</xdr:colOff>
      <xdr:row>13</xdr:row>
      <xdr:rowOff>825500</xdr:rowOff>
    </xdr:to>
    <xdr:sp macro="" textlink="">
      <xdr:nvSpPr>
        <xdr:cNvPr id="140" name="TextBox 139">
          <a:hlinkClick xmlns:r="http://schemas.openxmlformats.org/officeDocument/2006/relationships" r:id="rId32"/>
        </xdr:cNvPr>
        <xdr:cNvSpPr txBox="1"/>
      </xdr:nvSpPr>
      <xdr:spPr>
        <a:xfrm>
          <a:off x="111471075" y="240633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http://www.unh.edu/unhsc/sites/unh.edu.unhsc/files/pubs_specs_info/unhsc_gravel_wetland_specs_6_09.pdf</a:t>
          </a:r>
        </a:p>
      </xdr:txBody>
    </xdr:sp>
    <xdr:clientData/>
  </xdr:twoCellAnchor>
  <xdr:twoCellAnchor>
    <xdr:from>
      <xdr:col>118</xdr:col>
      <xdr:colOff>165100</xdr:colOff>
      <xdr:row>13</xdr:row>
      <xdr:rowOff>927100</xdr:rowOff>
    </xdr:from>
    <xdr:to>
      <xdr:col>118</xdr:col>
      <xdr:colOff>11798300</xdr:colOff>
      <xdr:row>13</xdr:row>
      <xdr:rowOff>1168400</xdr:rowOff>
    </xdr:to>
    <xdr:sp macro="" textlink="">
      <xdr:nvSpPr>
        <xdr:cNvPr id="141" name="TextBox 140">
          <a:hlinkClick xmlns:r="http://schemas.openxmlformats.org/officeDocument/2006/relationships" r:id="rId33"/>
        </xdr:cNvPr>
        <xdr:cNvSpPr txBox="1"/>
      </xdr:nvSpPr>
      <xdr:spPr>
        <a:xfrm>
          <a:off x="111512350" y="244062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http://www.crwa.org/projects/bmpfactsheets/crwa_gravelwetland.pdf</a:t>
          </a:r>
        </a:p>
      </xdr:txBody>
    </xdr:sp>
    <xdr:clientData/>
  </xdr:twoCellAnchor>
  <xdr:twoCellAnchor>
    <xdr:from>
      <xdr:col>118</xdr:col>
      <xdr:colOff>149225</xdr:colOff>
      <xdr:row>9</xdr:row>
      <xdr:rowOff>117475</xdr:rowOff>
    </xdr:from>
    <xdr:to>
      <xdr:col>118</xdr:col>
      <xdr:colOff>11782425</xdr:colOff>
      <xdr:row>9</xdr:row>
      <xdr:rowOff>358775</xdr:rowOff>
    </xdr:to>
    <xdr:sp macro="" textlink="">
      <xdr:nvSpPr>
        <xdr:cNvPr id="146" name="TextBox 145">
          <a:hlinkClick xmlns:r="http://schemas.openxmlformats.org/officeDocument/2006/relationships" r:id="rId34"/>
        </xdr:cNvPr>
        <xdr:cNvSpPr txBox="1"/>
      </xdr:nvSpPr>
      <xdr:spPr>
        <a:xfrm>
          <a:off x="111496475" y="123412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http://www.toddecological.com/clients/list.php</a:t>
          </a:r>
        </a:p>
      </xdr:txBody>
    </xdr:sp>
    <xdr:clientData/>
  </xdr:twoCellAnchor>
  <xdr:twoCellAnchor>
    <xdr:from>
      <xdr:col>118</xdr:col>
      <xdr:colOff>174625</xdr:colOff>
      <xdr:row>9</xdr:row>
      <xdr:rowOff>412750</xdr:rowOff>
    </xdr:from>
    <xdr:to>
      <xdr:col>118</xdr:col>
      <xdr:colOff>11807825</xdr:colOff>
      <xdr:row>9</xdr:row>
      <xdr:rowOff>654050</xdr:rowOff>
    </xdr:to>
    <xdr:sp macro="" textlink="">
      <xdr:nvSpPr>
        <xdr:cNvPr id="147" name="TextBox 146">
          <a:hlinkClick xmlns:r="http://schemas.openxmlformats.org/officeDocument/2006/relationships" r:id="rId35"/>
        </xdr:cNvPr>
        <xdr:cNvSpPr txBox="1"/>
      </xdr:nvSpPr>
      <xdr:spPr>
        <a:xfrm>
          <a:off x="111521875" y="12636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http://water.epa.gov/scitech/wastetech/upload/2002_12_13_mtb_living_machine.pdf</a:t>
          </a:r>
        </a:p>
      </xdr:txBody>
    </xdr:sp>
    <xdr:clientData/>
  </xdr:twoCellAnchor>
  <xdr:twoCellAnchor>
    <xdr:from>
      <xdr:col>118</xdr:col>
      <xdr:colOff>152400</xdr:colOff>
      <xdr:row>9</xdr:row>
      <xdr:rowOff>1254125</xdr:rowOff>
    </xdr:from>
    <xdr:to>
      <xdr:col>118</xdr:col>
      <xdr:colOff>11785600</xdr:colOff>
      <xdr:row>9</xdr:row>
      <xdr:rowOff>1495425</xdr:rowOff>
    </xdr:to>
    <xdr:sp macro="" textlink="">
      <xdr:nvSpPr>
        <xdr:cNvPr id="148" name="TextBox 147">
          <a:hlinkClick xmlns:r="http://schemas.openxmlformats.org/officeDocument/2006/relationships" r:id="rId36"/>
        </xdr:cNvPr>
        <xdr:cNvSpPr txBox="1"/>
      </xdr:nvSpPr>
      <xdr:spPr>
        <a:xfrm>
          <a:off x="111912400" y="134842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http://toddecological.com/clients/PDFs/100623.casestudy.southburlington.pdf</a:t>
          </a:r>
        </a:p>
      </xdr:txBody>
    </xdr:sp>
    <xdr:clientData/>
  </xdr:twoCellAnchor>
  <xdr:twoCellAnchor>
    <xdr:from>
      <xdr:col>118</xdr:col>
      <xdr:colOff>155575</xdr:colOff>
      <xdr:row>26</xdr:row>
      <xdr:rowOff>923925</xdr:rowOff>
    </xdr:from>
    <xdr:to>
      <xdr:col>118</xdr:col>
      <xdr:colOff>11788775</xdr:colOff>
      <xdr:row>26</xdr:row>
      <xdr:rowOff>1165225</xdr:rowOff>
    </xdr:to>
    <xdr:sp macro="" textlink="">
      <xdr:nvSpPr>
        <xdr:cNvPr id="149" name="TextBox 148">
          <a:hlinkClick xmlns:r="http://schemas.openxmlformats.org/officeDocument/2006/relationships" r:id="rId37"/>
        </xdr:cNvPr>
        <xdr:cNvSpPr txBox="1"/>
      </xdr:nvSpPr>
      <xdr:spPr>
        <a:xfrm>
          <a:off x="111915575" y="598138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http://water.epa.gov/aboutow/owm/upload/2005_07_14_comp.pdf</a:t>
          </a:r>
        </a:p>
      </xdr:txBody>
    </xdr:sp>
    <xdr:clientData/>
  </xdr:twoCellAnchor>
  <xdr:twoCellAnchor>
    <xdr:from>
      <xdr:col>118</xdr:col>
      <xdr:colOff>149225</xdr:colOff>
      <xdr:row>26</xdr:row>
      <xdr:rowOff>1266825</xdr:rowOff>
    </xdr:from>
    <xdr:to>
      <xdr:col>118</xdr:col>
      <xdr:colOff>11782425</xdr:colOff>
      <xdr:row>26</xdr:row>
      <xdr:rowOff>1508125</xdr:rowOff>
    </xdr:to>
    <xdr:sp macro="" textlink="">
      <xdr:nvSpPr>
        <xdr:cNvPr id="150" name="TextBox 149">
          <a:hlinkClick xmlns:r="http://schemas.openxmlformats.org/officeDocument/2006/relationships" r:id="rId38"/>
        </xdr:cNvPr>
        <xdr:cNvSpPr txBox="1"/>
      </xdr:nvSpPr>
      <xdr:spPr>
        <a:xfrm>
          <a:off x="111909225" y="601567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http://www.ecosanres.org/pdf_files/ESR-factsheet-13.pdf</a:t>
          </a:r>
        </a:p>
      </xdr:txBody>
    </xdr:sp>
    <xdr:clientData/>
  </xdr:twoCellAnchor>
  <xdr:twoCellAnchor>
    <xdr:from>
      <xdr:col>118</xdr:col>
      <xdr:colOff>174625</xdr:colOff>
      <xdr:row>22</xdr:row>
      <xdr:rowOff>571500</xdr:rowOff>
    </xdr:from>
    <xdr:to>
      <xdr:col>118</xdr:col>
      <xdr:colOff>11807825</xdr:colOff>
      <xdr:row>22</xdr:row>
      <xdr:rowOff>812800</xdr:rowOff>
    </xdr:to>
    <xdr:sp macro="" textlink="">
      <xdr:nvSpPr>
        <xdr:cNvPr id="151" name="TextBox 150">
          <a:hlinkClick xmlns:r="http://schemas.openxmlformats.org/officeDocument/2006/relationships" r:id="rId39"/>
        </xdr:cNvPr>
        <xdr:cNvSpPr txBox="1"/>
      </xdr:nvSpPr>
      <xdr:spPr>
        <a:xfrm>
          <a:off x="111521875" y="514191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http://link.springer.com/article/10.1007/s11252-012-0266-z</a:t>
          </a:r>
        </a:p>
      </xdr:txBody>
    </xdr:sp>
    <xdr:clientData/>
  </xdr:twoCellAnchor>
  <xdr:twoCellAnchor>
    <xdr:from>
      <xdr:col>118</xdr:col>
      <xdr:colOff>158750</xdr:colOff>
      <xdr:row>26</xdr:row>
      <xdr:rowOff>2244725</xdr:rowOff>
    </xdr:from>
    <xdr:to>
      <xdr:col>118</xdr:col>
      <xdr:colOff>11791950</xdr:colOff>
      <xdr:row>26</xdr:row>
      <xdr:rowOff>2486025</xdr:rowOff>
    </xdr:to>
    <xdr:sp macro="" textlink="">
      <xdr:nvSpPr>
        <xdr:cNvPr id="152" name="TextBox 151">
          <a:hlinkClick xmlns:r="http://schemas.openxmlformats.org/officeDocument/2006/relationships" r:id="rId40"/>
        </xdr:cNvPr>
        <xdr:cNvSpPr txBox="1"/>
      </xdr:nvSpPr>
      <xdr:spPr>
        <a:xfrm>
          <a:off x="111918750" y="611346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http://www.sancor.ca/</a:t>
          </a:r>
        </a:p>
      </xdr:txBody>
    </xdr:sp>
    <xdr:clientData/>
  </xdr:twoCellAnchor>
  <xdr:twoCellAnchor>
    <xdr:from>
      <xdr:col>118</xdr:col>
      <xdr:colOff>184150</xdr:colOff>
      <xdr:row>26</xdr:row>
      <xdr:rowOff>1914525</xdr:rowOff>
    </xdr:from>
    <xdr:to>
      <xdr:col>118</xdr:col>
      <xdr:colOff>11817350</xdr:colOff>
      <xdr:row>26</xdr:row>
      <xdr:rowOff>2155825</xdr:rowOff>
    </xdr:to>
    <xdr:sp macro="" textlink="">
      <xdr:nvSpPr>
        <xdr:cNvPr id="153" name="TextBox 152">
          <a:hlinkClick xmlns:r="http://schemas.openxmlformats.org/officeDocument/2006/relationships" r:id="rId41"/>
        </xdr:cNvPr>
        <xdr:cNvSpPr txBox="1"/>
      </xdr:nvSpPr>
      <xdr:spPr>
        <a:xfrm>
          <a:off x="111944150" y="608044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http://www.sun-mar.com/</a:t>
          </a:r>
        </a:p>
      </xdr:txBody>
    </xdr:sp>
    <xdr:clientData/>
  </xdr:twoCellAnchor>
  <xdr:twoCellAnchor>
    <xdr:from>
      <xdr:col>118</xdr:col>
      <xdr:colOff>171450</xdr:colOff>
      <xdr:row>20</xdr:row>
      <xdr:rowOff>568325</xdr:rowOff>
    </xdr:from>
    <xdr:to>
      <xdr:col>118</xdr:col>
      <xdr:colOff>11804650</xdr:colOff>
      <xdr:row>20</xdr:row>
      <xdr:rowOff>809625</xdr:rowOff>
    </xdr:to>
    <xdr:sp macro="" textlink="">
      <xdr:nvSpPr>
        <xdr:cNvPr id="154" name="TextBox 153">
          <a:hlinkClick xmlns:r="http://schemas.openxmlformats.org/officeDocument/2006/relationships" r:id="rId39"/>
        </xdr:cNvPr>
        <xdr:cNvSpPr txBox="1"/>
      </xdr:nvSpPr>
      <xdr:spPr>
        <a:xfrm>
          <a:off x="111518700" y="473202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http://link.springer.com/article/10.1007/s11252-012-0266-z</a:t>
          </a:r>
        </a:p>
      </xdr:txBody>
    </xdr:sp>
    <xdr:clientData/>
  </xdr:twoCellAnchor>
  <xdr:twoCellAnchor>
    <xdr:from>
      <xdr:col>118</xdr:col>
      <xdr:colOff>149225</xdr:colOff>
      <xdr:row>20</xdr:row>
      <xdr:rowOff>911225</xdr:rowOff>
    </xdr:from>
    <xdr:to>
      <xdr:col>118</xdr:col>
      <xdr:colOff>11782425</xdr:colOff>
      <xdr:row>20</xdr:row>
      <xdr:rowOff>1152525</xdr:rowOff>
    </xdr:to>
    <xdr:sp macro="" textlink="">
      <xdr:nvSpPr>
        <xdr:cNvPr id="155" name="TextBox 154">
          <a:hlinkClick xmlns:r="http://schemas.openxmlformats.org/officeDocument/2006/relationships" r:id="rId19"/>
        </xdr:cNvPr>
        <xdr:cNvSpPr txBox="1"/>
      </xdr:nvSpPr>
      <xdr:spPr>
        <a:xfrm>
          <a:off x="111496475" y="47663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http://ciceet.unh.edu/news/releases/spring08_progress_reports/pdf/vallino.pdf</a:t>
          </a:r>
        </a:p>
      </xdr:txBody>
    </xdr:sp>
    <xdr:clientData/>
  </xdr:twoCellAnchor>
  <xdr:twoCellAnchor>
    <xdr:from>
      <xdr:col>118</xdr:col>
      <xdr:colOff>142875</xdr:colOff>
      <xdr:row>22</xdr:row>
      <xdr:rowOff>104775</xdr:rowOff>
    </xdr:from>
    <xdr:to>
      <xdr:col>118</xdr:col>
      <xdr:colOff>11776075</xdr:colOff>
      <xdr:row>22</xdr:row>
      <xdr:rowOff>346075</xdr:rowOff>
    </xdr:to>
    <xdr:sp macro="" textlink="">
      <xdr:nvSpPr>
        <xdr:cNvPr id="156" name="TextBox 155">
          <a:hlinkClick xmlns:r="http://schemas.openxmlformats.org/officeDocument/2006/relationships" r:id="rId17"/>
        </xdr:cNvPr>
        <xdr:cNvSpPr txBox="1"/>
      </xdr:nvSpPr>
      <xdr:spPr>
        <a:xfrm>
          <a:off x="111902875" y="509936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http://www.clu-in.org/conf/itrc/prbtu/prez/ITRC_PRBUpdate_092012ibtpdf.pdf</a:t>
          </a:r>
        </a:p>
      </xdr:txBody>
    </xdr:sp>
    <xdr:clientData/>
  </xdr:twoCellAnchor>
  <xdr:twoCellAnchor>
    <xdr:from>
      <xdr:col>118</xdr:col>
      <xdr:colOff>180975</xdr:colOff>
      <xdr:row>19</xdr:row>
      <xdr:rowOff>920750</xdr:rowOff>
    </xdr:from>
    <xdr:to>
      <xdr:col>118</xdr:col>
      <xdr:colOff>11814175</xdr:colOff>
      <xdr:row>19</xdr:row>
      <xdr:rowOff>1162050</xdr:rowOff>
    </xdr:to>
    <xdr:sp macro="" textlink="">
      <xdr:nvSpPr>
        <xdr:cNvPr id="157" name="TextBox 156">
          <a:hlinkClick xmlns:r="http://schemas.openxmlformats.org/officeDocument/2006/relationships" r:id="rId42"/>
        </xdr:cNvPr>
        <xdr:cNvSpPr txBox="1"/>
      </xdr:nvSpPr>
      <xdr:spPr>
        <a:xfrm>
          <a:off x="111940975" y="453072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http://www.epa.gov/tio/download/remed/phytotechnologies-factsheet.pdf</a:t>
          </a:r>
        </a:p>
      </xdr:txBody>
    </xdr:sp>
    <xdr:clientData/>
  </xdr:twoCellAnchor>
  <xdr:twoCellAnchor>
    <xdr:from>
      <xdr:col>118</xdr:col>
      <xdr:colOff>155575</xdr:colOff>
      <xdr:row>6</xdr:row>
      <xdr:rowOff>409575</xdr:rowOff>
    </xdr:from>
    <xdr:to>
      <xdr:col>118</xdr:col>
      <xdr:colOff>11788775</xdr:colOff>
      <xdr:row>6</xdr:row>
      <xdr:rowOff>650875</xdr:rowOff>
    </xdr:to>
    <xdr:sp macro="" textlink="">
      <xdr:nvSpPr>
        <xdr:cNvPr id="162" name="TextBox 161">
          <a:hlinkClick xmlns:r="http://schemas.openxmlformats.org/officeDocument/2006/relationships" r:id="rId43"/>
        </xdr:cNvPr>
        <xdr:cNvSpPr txBox="1"/>
      </xdr:nvSpPr>
      <xdr:spPr>
        <a:xfrm>
          <a:off x="111502825" y="22669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http://water.epa.gov/type/wetlands/restore/upload/constructed-wetlands-design-manual.pdf</a:t>
          </a:r>
        </a:p>
      </xdr:txBody>
    </xdr:sp>
    <xdr:clientData/>
  </xdr:twoCellAnchor>
  <xdr:twoCellAnchor>
    <xdr:from>
      <xdr:col>118</xdr:col>
      <xdr:colOff>165100</xdr:colOff>
      <xdr:row>7</xdr:row>
      <xdr:rowOff>930275</xdr:rowOff>
    </xdr:from>
    <xdr:to>
      <xdr:col>118</xdr:col>
      <xdr:colOff>11798300</xdr:colOff>
      <xdr:row>7</xdr:row>
      <xdr:rowOff>1171575</xdr:rowOff>
    </xdr:to>
    <xdr:sp macro="" textlink="">
      <xdr:nvSpPr>
        <xdr:cNvPr id="163" name="TextBox 162">
          <a:hlinkClick xmlns:r="http://schemas.openxmlformats.org/officeDocument/2006/relationships" r:id="rId44"/>
        </xdr:cNvPr>
        <xdr:cNvSpPr txBox="1"/>
      </xdr:nvSpPr>
      <xdr:spPr>
        <a:xfrm>
          <a:off x="111925100" y="72294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http://link.springer.com/article/10.1023%2FB%3AWAFO.0000028385.63075.51</a:t>
          </a:r>
        </a:p>
      </xdr:txBody>
    </xdr:sp>
    <xdr:clientData/>
  </xdr:twoCellAnchor>
  <xdr:twoCellAnchor>
    <xdr:from>
      <xdr:col>118</xdr:col>
      <xdr:colOff>133350</xdr:colOff>
      <xdr:row>6</xdr:row>
      <xdr:rowOff>752475</xdr:rowOff>
    </xdr:from>
    <xdr:to>
      <xdr:col>118</xdr:col>
      <xdr:colOff>11766550</xdr:colOff>
      <xdr:row>6</xdr:row>
      <xdr:rowOff>993775</xdr:rowOff>
    </xdr:to>
    <xdr:sp macro="" textlink="">
      <xdr:nvSpPr>
        <xdr:cNvPr id="164" name="TextBox 163">
          <a:hlinkClick xmlns:r="http://schemas.openxmlformats.org/officeDocument/2006/relationships" r:id="rId45"/>
        </xdr:cNvPr>
        <xdr:cNvSpPr txBox="1"/>
      </xdr:nvSpPr>
      <xdr:spPr>
        <a:xfrm>
          <a:off x="111480600" y="26098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http://www.tetratech-ffx.com/potwconf/pdf/112008_1200_Kreissl.pdf</a:t>
          </a:r>
        </a:p>
      </xdr:txBody>
    </xdr:sp>
    <xdr:clientData/>
  </xdr:twoCellAnchor>
  <xdr:twoCellAnchor>
    <xdr:from>
      <xdr:col>118</xdr:col>
      <xdr:colOff>165100</xdr:colOff>
      <xdr:row>6</xdr:row>
      <xdr:rowOff>2247900</xdr:rowOff>
    </xdr:from>
    <xdr:to>
      <xdr:col>118</xdr:col>
      <xdr:colOff>11798300</xdr:colOff>
      <xdr:row>6</xdr:row>
      <xdr:rowOff>2489200</xdr:rowOff>
    </xdr:to>
    <xdr:sp macro="" textlink="">
      <xdr:nvSpPr>
        <xdr:cNvPr id="165" name="TextBox 164">
          <a:hlinkClick xmlns:r="http://schemas.openxmlformats.org/officeDocument/2006/relationships" r:id="rId46"/>
        </xdr:cNvPr>
        <xdr:cNvSpPr txBox="1"/>
      </xdr:nvSpPr>
      <xdr:spPr>
        <a:xfrm>
          <a:off x="111925100" y="41148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http://link.springer.com/article/10.1007%2Fs13157-013-0444-7#</a:t>
          </a:r>
        </a:p>
      </xdr:txBody>
    </xdr:sp>
    <xdr:clientData/>
  </xdr:twoCellAnchor>
  <xdr:twoCellAnchor>
    <xdr:from>
      <xdr:col>118</xdr:col>
      <xdr:colOff>152400</xdr:colOff>
      <xdr:row>6</xdr:row>
      <xdr:rowOff>88900</xdr:rowOff>
    </xdr:from>
    <xdr:to>
      <xdr:col>118</xdr:col>
      <xdr:colOff>11785600</xdr:colOff>
      <xdr:row>6</xdr:row>
      <xdr:rowOff>330200</xdr:rowOff>
    </xdr:to>
    <xdr:sp macro="" textlink="">
      <xdr:nvSpPr>
        <xdr:cNvPr id="166" name="TextBox 165">
          <a:hlinkClick xmlns:r="http://schemas.openxmlformats.org/officeDocument/2006/relationships" r:id="rId47"/>
        </xdr:cNvPr>
        <xdr:cNvSpPr txBox="1"/>
      </xdr:nvSpPr>
      <xdr:spPr>
        <a:xfrm>
          <a:off x="111499650" y="19462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http://www.firelandstributaries.net/pdfs/Local%20workgroup/Treatment_Wetlands.pdf</a:t>
          </a:r>
        </a:p>
      </xdr:txBody>
    </xdr:sp>
    <xdr:clientData/>
  </xdr:twoCellAnchor>
  <xdr:twoCellAnchor>
    <xdr:from>
      <xdr:col>118</xdr:col>
      <xdr:colOff>161925</xdr:colOff>
      <xdr:row>7</xdr:row>
      <xdr:rowOff>1257300</xdr:rowOff>
    </xdr:from>
    <xdr:to>
      <xdr:col>118</xdr:col>
      <xdr:colOff>11795125</xdr:colOff>
      <xdr:row>7</xdr:row>
      <xdr:rowOff>1498600</xdr:rowOff>
    </xdr:to>
    <xdr:sp macro="" textlink="">
      <xdr:nvSpPr>
        <xdr:cNvPr id="168" name="TextBox 167">
          <a:hlinkClick xmlns:r="http://schemas.openxmlformats.org/officeDocument/2006/relationships" r:id="rId48"/>
        </xdr:cNvPr>
        <xdr:cNvSpPr txBox="1"/>
      </xdr:nvSpPr>
      <xdr:spPr>
        <a:xfrm>
          <a:off x="111921925" y="75565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http://www.brownandcaldwell.com/Tech_Papers/700.pdf</a:t>
          </a:r>
        </a:p>
      </xdr:txBody>
    </xdr:sp>
    <xdr:clientData/>
  </xdr:twoCellAnchor>
  <xdr:twoCellAnchor>
    <xdr:from>
      <xdr:col>118</xdr:col>
      <xdr:colOff>171450</xdr:colOff>
      <xdr:row>6</xdr:row>
      <xdr:rowOff>1082675</xdr:rowOff>
    </xdr:from>
    <xdr:to>
      <xdr:col>118</xdr:col>
      <xdr:colOff>11804650</xdr:colOff>
      <xdr:row>6</xdr:row>
      <xdr:rowOff>1323975</xdr:rowOff>
    </xdr:to>
    <xdr:sp macro="" textlink="">
      <xdr:nvSpPr>
        <xdr:cNvPr id="169" name="TextBox 168">
          <a:hlinkClick xmlns:r="http://schemas.openxmlformats.org/officeDocument/2006/relationships" r:id="rId48"/>
        </xdr:cNvPr>
        <xdr:cNvSpPr txBox="1"/>
      </xdr:nvSpPr>
      <xdr:spPr>
        <a:xfrm>
          <a:off x="111931450" y="29495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http://www.brownandcaldwell.com/Tech_Papers/700.pdf</a:t>
          </a:r>
        </a:p>
      </xdr:txBody>
    </xdr:sp>
    <xdr:clientData/>
  </xdr:twoCellAnchor>
  <xdr:twoCellAnchor>
    <xdr:from>
      <xdr:col>118</xdr:col>
      <xdr:colOff>146050</xdr:colOff>
      <xdr:row>7</xdr:row>
      <xdr:rowOff>111125</xdr:rowOff>
    </xdr:from>
    <xdr:to>
      <xdr:col>118</xdr:col>
      <xdr:colOff>11779250</xdr:colOff>
      <xdr:row>7</xdr:row>
      <xdr:rowOff>352425</xdr:rowOff>
    </xdr:to>
    <xdr:sp macro="" textlink="">
      <xdr:nvSpPr>
        <xdr:cNvPr id="170" name="TextBox 169">
          <a:hlinkClick xmlns:r="http://schemas.openxmlformats.org/officeDocument/2006/relationships" r:id="rId47"/>
        </xdr:cNvPr>
        <xdr:cNvSpPr txBox="1"/>
      </xdr:nvSpPr>
      <xdr:spPr>
        <a:xfrm>
          <a:off x="111906050" y="64103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http://www.firelandstributaries.net/pdfs/Local%20workgroup/Treatment_Wetlands.pdf</a:t>
          </a:r>
        </a:p>
      </xdr:txBody>
    </xdr:sp>
    <xdr:clientData/>
  </xdr:twoCellAnchor>
  <xdr:twoCellAnchor>
    <xdr:from>
      <xdr:col>118</xdr:col>
      <xdr:colOff>165100</xdr:colOff>
      <xdr:row>7</xdr:row>
      <xdr:rowOff>444500</xdr:rowOff>
    </xdr:from>
    <xdr:to>
      <xdr:col>118</xdr:col>
      <xdr:colOff>11798300</xdr:colOff>
      <xdr:row>7</xdr:row>
      <xdr:rowOff>685800</xdr:rowOff>
    </xdr:to>
    <xdr:sp macro="" textlink="">
      <xdr:nvSpPr>
        <xdr:cNvPr id="172" name="TextBox 171">
          <a:hlinkClick xmlns:r="http://schemas.openxmlformats.org/officeDocument/2006/relationships" r:id="rId43"/>
        </xdr:cNvPr>
        <xdr:cNvSpPr txBox="1"/>
      </xdr:nvSpPr>
      <xdr:spPr>
        <a:xfrm>
          <a:off x="111925100" y="67437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http://water.epa.gov/type/wetlands/restore/upload/constructed-wetlands-design-manual.pdf</a:t>
          </a:r>
        </a:p>
      </xdr:txBody>
    </xdr:sp>
    <xdr:clientData/>
  </xdr:twoCellAnchor>
  <xdr:twoCellAnchor>
    <xdr:from>
      <xdr:col>118</xdr:col>
      <xdr:colOff>142875</xdr:colOff>
      <xdr:row>7</xdr:row>
      <xdr:rowOff>2070100</xdr:rowOff>
    </xdr:from>
    <xdr:to>
      <xdr:col>118</xdr:col>
      <xdr:colOff>11776075</xdr:colOff>
      <xdr:row>7</xdr:row>
      <xdr:rowOff>2311400</xdr:rowOff>
    </xdr:to>
    <xdr:sp macro="" textlink="">
      <xdr:nvSpPr>
        <xdr:cNvPr id="173" name="TextBox 172">
          <a:hlinkClick xmlns:r="http://schemas.openxmlformats.org/officeDocument/2006/relationships" r:id="rId49"/>
        </xdr:cNvPr>
        <xdr:cNvSpPr txBox="1"/>
      </xdr:nvSpPr>
      <xdr:spPr>
        <a:xfrm>
          <a:off x="111902875" y="8369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http://water.epa.gov/infrastructure/septic/upload/wetlands-subsurface_flow.pdf</a:t>
          </a:r>
        </a:p>
      </xdr:txBody>
    </xdr:sp>
    <xdr:clientData/>
  </xdr:twoCellAnchor>
  <xdr:twoCellAnchor>
    <xdr:from>
      <xdr:col>118</xdr:col>
      <xdr:colOff>190500</xdr:colOff>
      <xdr:row>8</xdr:row>
      <xdr:rowOff>2743200</xdr:rowOff>
    </xdr:from>
    <xdr:to>
      <xdr:col>118</xdr:col>
      <xdr:colOff>11823700</xdr:colOff>
      <xdr:row>8</xdr:row>
      <xdr:rowOff>2984500</xdr:rowOff>
    </xdr:to>
    <xdr:sp macro="" textlink="">
      <xdr:nvSpPr>
        <xdr:cNvPr id="174" name="TextBox 173">
          <a:hlinkClick xmlns:r="http://schemas.openxmlformats.org/officeDocument/2006/relationships" r:id="rId49"/>
        </xdr:cNvPr>
        <xdr:cNvSpPr txBox="1"/>
      </xdr:nvSpPr>
      <xdr:spPr>
        <a:xfrm>
          <a:off x="111950500" y="117348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http://water.epa.gov/infrastructure/septic/upload/wetlands-subsurface_flow.pdf</a:t>
          </a:r>
        </a:p>
      </xdr:txBody>
    </xdr:sp>
    <xdr:clientData/>
  </xdr:twoCellAnchor>
  <xdr:twoCellAnchor>
    <xdr:from>
      <xdr:col>118</xdr:col>
      <xdr:colOff>180975</xdr:colOff>
      <xdr:row>16</xdr:row>
      <xdr:rowOff>774700</xdr:rowOff>
    </xdr:from>
    <xdr:to>
      <xdr:col>118</xdr:col>
      <xdr:colOff>11814175</xdr:colOff>
      <xdr:row>16</xdr:row>
      <xdr:rowOff>1016000</xdr:rowOff>
    </xdr:to>
    <xdr:sp macro="" textlink="">
      <xdr:nvSpPr>
        <xdr:cNvPr id="175" name="TextBox 174">
          <a:hlinkClick xmlns:r="http://schemas.openxmlformats.org/officeDocument/2006/relationships" r:id="rId50"/>
        </xdr:cNvPr>
        <xdr:cNvSpPr txBox="1"/>
      </xdr:nvSpPr>
      <xdr:spPr>
        <a:xfrm>
          <a:off x="111940975" y="326517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158750</xdr:colOff>
      <xdr:row>16</xdr:row>
      <xdr:rowOff>2568575</xdr:rowOff>
    </xdr:from>
    <xdr:to>
      <xdr:col>118</xdr:col>
      <xdr:colOff>11791950</xdr:colOff>
      <xdr:row>16</xdr:row>
      <xdr:rowOff>2809875</xdr:rowOff>
    </xdr:to>
    <xdr:sp macro="" textlink="">
      <xdr:nvSpPr>
        <xdr:cNvPr id="176" name="TextBox 175">
          <a:hlinkClick xmlns:r="http://schemas.openxmlformats.org/officeDocument/2006/relationships" r:id="rId51"/>
        </xdr:cNvPr>
        <xdr:cNvSpPr txBox="1"/>
      </xdr:nvSpPr>
      <xdr:spPr>
        <a:xfrm>
          <a:off x="111918750" y="344455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http://www.int-res.com/abstracts/meps/v480/feature/</a:t>
          </a:r>
        </a:p>
      </xdr:txBody>
    </xdr:sp>
    <xdr:clientData/>
  </xdr:twoCellAnchor>
  <xdr:twoCellAnchor>
    <xdr:from>
      <xdr:col>118</xdr:col>
      <xdr:colOff>152400</xdr:colOff>
      <xdr:row>16</xdr:row>
      <xdr:rowOff>1422400</xdr:rowOff>
    </xdr:from>
    <xdr:to>
      <xdr:col>118</xdr:col>
      <xdr:colOff>11785600</xdr:colOff>
      <xdr:row>16</xdr:row>
      <xdr:rowOff>1663700</xdr:rowOff>
    </xdr:to>
    <xdr:sp macro="" textlink="">
      <xdr:nvSpPr>
        <xdr:cNvPr id="177" name="TextBox 176">
          <a:hlinkClick xmlns:r="http://schemas.openxmlformats.org/officeDocument/2006/relationships" r:id="rId50"/>
        </xdr:cNvPr>
        <xdr:cNvSpPr txBox="1"/>
      </xdr:nvSpPr>
      <xdr:spPr>
        <a:xfrm>
          <a:off x="111912400" y="33299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146050</xdr:colOff>
      <xdr:row>16</xdr:row>
      <xdr:rowOff>415925</xdr:rowOff>
    </xdr:from>
    <xdr:to>
      <xdr:col>118</xdr:col>
      <xdr:colOff>11779250</xdr:colOff>
      <xdr:row>16</xdr:row>
      <xdr:rowOff>657225</xdr:rowOff>
    </xdr:to>
    <xdr:sp macro="" textlink="">
      <xdr:nvSpPr>
        <xdr:cNvPr id="178" name="TextBox 177">
          <a:hlinkClick xmlns:r="http://schemas.openxmlformats.org/officeDocument/2006/relationships" r:id="rId52"/>
        </xdr:cNvPr>
        <xdr:cNvSpPr txBox="1"/>
      </xdr:nvSpPr>
      <xdr:spPr>
        <a:xfrm>
          <a:off x="111906050" y="322929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http://www.nature.org/ourinitiatives/regions/northamerica/unitedstates/louisiana/oyster-reef-restoration-in-louisiana.xml</a:t>
          </a:r>
        </a:p>
      </xdr:txBody>
    </xdr:sp>
    <xdr:clientData/>
  </xdr:twoCellAnchor>
  <xdr:twoCellAnchor>
    <xdr:from>
      <xdr:col>118</xdr:col>
      <xdr:colOff>139700</xdr:colOff>
      <xdr:row>16</xdr:row>
      <xdr:rowOff>92075</xdr:rowOff>
    </xdr:from>
    <xdr:to>
      <xdr:col>118</xdr:col>
      <xdr:colOff>11772900</xdr:colOff>
      <xdr:row>16</xdr:row>
      <xdr:rowOff>333375</xdr:rowOff>
    </xdr:to>
    <xdr:sp macro="" textlink="">
      <xdr:nvSpPr>
        <xdr:cNvPr id="179" name="TextBox 178">
          <a:hlinkClick xmlns:r="http://schemas.openxmlformats.org/officeDocument/2006/relationships" r:id="rId53"/>
        </xdr:cNvPr>
        <xdr:cNvSpPr txBox="1"/>
      </xdr:nvSpPr>
      <xdr:spPr>
        <a:xfrm>
          <a:off x="111486950" y="319214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http://www.auburn.edu/~wcw0003/products/publications/carmichael-rh-w-walton--h.html</a:t>
          </a:r>
        </a:p>
      </xdr:txBody>
    </xdr:sp>
    <xdr:clientData/>
  </xdr:twoCellAnchor>
  <xdr:twoCellAnchor>
    <xdr:from>
      <xdr:col>118</xdr:col>
      <xdr:colOff>88900</xdr:colOff>
      <xdr:row>16</xdr:row>
      <xdr:rowOff>2073275</xdr:rowOff>
    </xdr:from>
    <xdr:to>
      <xdr:col>118</xdr:col>
      <xdr:colOff>11722100</xdr:colOff>
      <xdr:row>16</xdr:row>
      <xdr:rowOff>2314575</xdr:rowOff>
    </xdr:to>
    <xdr:sp macro="" textlink="">
      <xdr:nvSpPr>
        <xdr:cNvPr id="180" name="TextBox 179">
          <a:hlinkClick xmlns:r="http://schemas.openxmlformats.org/officeDocument/2006/relationships" r:id="rId54"/>
        </xdr:cNvPr>
        <xdr:cNvSpPr txBox="1"/>
      </xdr:nvSpPr>
      <xdr:spPr>
        <a:xfrm>
          <a:off x="111848900" y="339502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http://bayareamonitor.org/index.php?option=com_content&amp;view=article&amp;id=366&amp;Itemid=66</a:t>
          </a:r>
        </a:p>
      </xdr:txBody>
    </xdr:sp>
    <xdr:clientData/>
  </xdr:twoCellAnchor>
  <xdr:twoCellAnchor>
    <xdr:from>
      <xdr:col>118</xdr:col>
      <xdr:colOff>180975</xdr:colOff>
      <xdr:row>17</xdr:row>
      <xdr:rowOff>762000</xdr:rowOff>
    </xdr:from>
    <xdr:to>
      <xdr:col>118</xdr:col>
      <xdr:colOff>11814175</xdr:colOff>
      <xdr:row>17</xdr:row>
      <xdr:rowOff>1003300</xdr:rowOff>
    </xdr:to>
    <xdr:sp macro="" textlink="">
      <xdr:nvSpPr>
        <xdr:cNvPr id="181" name="TextBox 180">
          <a:hlinkClick xmlns:r="http://schemas.openxmlformats.org/officeDocument/2006/relationships" r:id="rId50"/>
        </xdr:cNvPr>
        <xdr:cNvSpPr txBox="1"/>
      </xdr:nvSpPr>
      <xdr:spPr>
        <a:xfrm>
          <a:off x="111940975" y="370459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158750</xdr:colOff>
      <xdr:row>17</xdr:row>
      <xdr:rowOff>2568575</xdr:rowOff>
    </xdr:from>
    <xdr:to>
      <xdr:col>118</xdr:col>
      <xdr:colOff>11791950</xdr:colOff>
      <xdr:row>17</xdr:row>
      <xdr:rowOff>2809875</xdr:rowOff>
    </xdr:to>
    <xdr:sp macro="" textlink="">
      <xdr:nvSpPr>
        <xdr:cNvPr id="182" name="TextBox 181">
          <a:hlinkClick xmlns:r="http://schemas.openxmlformats.org/officeDocument/2006/relationships" r:id="rId51"/>
        </xdr:cNvPr>
        <xdr:cNvSpPr txBox="1"/>
      </xdr:nvSpPr>
      <xdr:spPr>
        <a:xfrm>
          <a:off x="111918750" y="388524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http://www.int-res.com/abstracts/meps/v480/feature/</a:t>
          </a:r>
        </a:p>
      </xdr:txBody>
    </xdr:sp>
    <xdr:clientData/>
  </xdr:twoCellAnchor>
  <xdr:twoCellAnchor>
    <xdr:from>
      <xdr:col>118</xdr:col>
      <xdr:colOff>152400</xdr:colOff>
      <xdr:row>17</xdr:row>
      <xdr:rowOff>1422400</xdr:rowOff>
    </xdr:from>
    <xdr:to>
      <xdr:col>118</xdr:col>
      <xdr:colOff>11785600</xdr:colOff>
      <xdr:row>17</xdr:row>
      <xdr:rowOff>1663700</xdr:rowOff>
    </xdr:to>
    <xdr:sp macro="" textlink="">
      <xdr:nvSpPr>
        <xdr:cNvPr id="183" name="TextBox 182">
          <a:hlinkClick xmlns:r="http://schemas.openxmlformats.org/officeDocument/2006/relationships" r:id="rId50"/>
        </xdr:cNvPr>
        <xdr:cNvSpPr txBox="1"/>
      </xdr:nvSpPr>
      <xdr:spPr>
        <a:xfrm>
          <a:off x="111912400" y="37706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146050</xdr:colOff>
      <xdr:row>17</xdr:row>
      <xdr:rowOff>415925</xdr:rowOff>
    </xdr:from>
    <xdr:to>
      <xdr:col>118</xdr:col>
      <xdr:colOff>11779250</xdr:colOff>
      <xdr:row>17</xdr:row>
      <xdr:rowOff>657225</xdr:rowOff>
    </xdr:to>
    <xdr:sp macro="" textlink="">
      <xdr:nvSpPr>
        <xdr:cNvPr id="184" name="TextBox 183">
          <a:hlinkClick xmlns:r="http://schemas.openxmlformats.org/officeDocument/2006/relationships" r:id="rId52"/>
        </xdr:cNvPr>
        <xdr:cNvSpPr txBox="1"/>
      </xdr:nvSpPr>
      <xdr:spPr>
        <a:xfrm>
          <a:off x="111493300" y="32245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http://www.nature.org/ourinitiatives/regions/northamerica/unitedstates/louisiana/oyster-reef-restoration-in-louisiana.xml</a:t>
          </a:r>
        </a:p>
      </xdr:txBody>
    </xdr:sp>
    <xdr:clientData/>
  </xdr:twoCellAnchor>
  <xdr:twoCellAnchor>
    <xdr:from>
      <xdr:col>118</xdr:col>
      <xdr:colOff>139700</xdr:colOff>
      <xdr:row>17</xdr:row>
      <xdr:rowOff>92075</xdr:rowOff>
    </xdr:from>
    <xdr:to>
      <xdr:col>118</xdr:col>
      <xdr:colOff>11772900</xdr:colOff>
      <xdr:row>17</xdr:row>
      <xdr:rowOff>333375</xdr:rowOff>
    </xdr:to>
    <xdr:sp macro="" textlink="">
      <xdr:nvSpPr>
        <xdr:cNvPr id="185" name="TextBox 184">
          <a:hlinkClick xmlns:r="http://schemas.openxmlformats.org/officeDocument/2006/relationships" r:id="rId53"/>
        </xdr:cNvPr>
        <xdr:cNvSpPr txBox="1"/>
      </xdr:nvSpPr>
      <xdr:spPr>
        <a:xfrm>
          <a:off x="111486950" y="319214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http://www.auburn.edu/~wcw0003/products/publications/carmichael-rh-w-walton--h.html</a:t>
          </a:r>
        </a:p>
      </xdr:txBody>
    </xdr:sp>
    <xdr:clientData/>
  </xdr:twoCellAnchor>
  <xdr:twoCellAnchor>
    <xdr:from>
      <xdr:col>118</xdr:col>
      <xdr:colOff>88900</xdr:colOff>
      <xdr:row>17</xdr:row>
      <xdr:rowOff>2085975</xdr:rowOff>
    </xdr:from>
    <xdr:to>
      <xdr:col>118</xdr:col>
      <xdr:colOff>11722100</xdr:colOff>
      <xdr:row>17</xdr:row>
      <xdr:rowOff>2327275</xdr:rowOff>
    </xdr:to>
    <xdr:sp macro="" textlink="">
      <xdr:nvSpPr>
        <xdr:cNvPr id="186" name="TextBox 185">
          <a:hlinkClick xmlns:r="http://schemas.openxmlformats.org/officeDocument/2006/relationships" r:id="rId54"/>
        </xdr:cNvPr>
        <xdr:cNvSpPr txBox="1"/>
      </xdr:nvSpPr>
      <xdr:spPr>
        <a:xfrm>
          <a:off x="111848900" y="383698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http://bayareamonitor.org/index.php?option=com_content&amp;view=article&amp;id=366&amp;Itemid=66</a:t>
          </a:r>
        </a:p>
      </xdr:txBody>
    </xdr:sp>
    <xdr:clientData/>
  </xdr:twoCellAnchor>
  <xdr:twoCellAnchor>
    <xdr:from>
      <xdr:col>118</xdr:col>
      <xdr:colOff>180975</xdr:colOff>
      <xdr:row>18</xdr:row>
      <xdr:rowOff>762000</xdr:rowOff>
    </xdr:from>
    <xdr:to>
      <xdr:col>118</xdr:col>
      <xdr:colOff>11814175</xdr:colOff>
      <xdr:row>18</xdr:row>
      <xdr:rowOff>1003300</xdr:rowOff>
    </xdr:to>
    <xdr:sp macro="" textlink="">
      <xdr:nvSpPr>
        <xdr:cNvPr id="187" name="TextBox 186">
          <a:hlinkClick xmlns:r="http://schemas.openxmlformats.org/officeDocument/2006/relationships" r:id="rId50"/>
        </xdr:cNvPr>
        <xdr:cNvSpPr txBox="1"/>
      </xdr:nvSpPr>
      <xdr:spPr>
        <a:xfrm>
          <a:off x="111940975" y="41427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158750</xdr:colOff>
      <xdr:row>18</xdr:row>
      <xdr:rowOff>2568575</xdr:rowOff>
    </xdr:from>
    <xdr:to>
      <xdr:col>118</xdr:col>
      <xdr:colOff>11791950</xdr:colOff>
      <xdr:row>18</xdr:row>
      <xdr:rowOff>2809875</xdr:rowOff>
    </xdr:to>
    <xdr:sp macro="" textlink="">
      <xdr:nvSpPr>
        <xdr:cNvPr id="188" name="TextBox 187">
          <a:hlinkClick xmlns:r="http://schemas.openxmlformats.org/officeDocument/2006/relationships" r:id="rId51"/>
        </xdr:cNvPr>
        <xdr:cNvSpPr txBox="1"/>
      </xdr:nvSpPr>
      <xdr:spPr>
        <a:xfrm>
          <a:off x="111918750" y="432339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http://www.int-res.com/abstracts/meps/v480/feature/</a:t>
          </a:r>
        </a:p>
      </xdr:txBody>
    </xdr:sp>
    <xdr:clientData/>
  </xdr:twoCellAnchor>
  <xdr:twoCellAnchor>
    <xdr:from>
      <xdr:col>118</xdr:col>
      <xdr:colOff>152400</xdr:colOff>
      <xdr:row>18</xdr:row>
      <xdr:rowOff>1409700</xdr:rowOff>
    </xdr:from>
    <xdr:to>
      <xdr:col>118</xdr:col>
      <xdr:colOff>11785600</xdr:colOff>
      <xdr:row>18</xdr:row>
      <xdr:rowOff>1651000</xdr:rowOff>
    </xdr:to>
    <xdr:sp macro="" textlink="">
      <xdr:nvSpPr>
        <xdr:cNvPr id="189" name="TextBox 188">
          <a:hlinkClick xmlns:r="http://schemas.openxmlformats.org/officeDocument/2006/relationships" r:id="rId50"/>
        </xdr:cNvPr>
        <xdr:cNvSpPr txBox="1"/>
      </xdr:nvSpPr>
      <xdr:spPr>
        <a:xfrm>
          <a:off x="111912400" y="42075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http://web.vims.edu/GreyLit/VIMS/sramsoe429.pdf</a:t>
          </a:r>
        </a:p>
      </xdr:txBody>
    </xdr:sp>
    <xdr:clientData/>
  </xdr:twoCellAnchor>
  <xdr:twoCellAnchor>
    <xdr:from>
      <xdr:col>118</xdr:col>
      <xdr:colOff>146050</xdr:colOff>
      <xdr:row>18</xdr:row>
      <xdr:rowOff>428625</xdr:rowOff>
    </xdr:from>
    <xdr:to>
      <xdr:col>118</xdr:col>
      <xdr:colOff>11779250</xdr:colOff>
      <xdr:row>18</xdr:row>
      <xdr:rowOff>669925</xdr:rowOff>
    </xdr:to>
    <xdr:sp macro="" textlink="">
      <xdr:nvSpPr>
        <xdr:cNvPr id="190" name="TextBox 189">
          <a:hlinkClick xmlns:r="http://schemas.openxmlformats.org/officeDocument/2006/relationships" r:id="rId52"/>
        </xdr:cNvPr>
        <xdr:cNvSpPr txBox="1"/>
      </xdr:nvSpPr>
      <xdr:spPr>
        <a:xfrm>
          <a:off x="111906050" y="410940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http://www.nature.org/ourinitiatives/regions/northamerica/unitedstates/louisiana/oyster-reef-restoration-in-louisiana.xml</a:t>
          </a:r>
        </a:p>
      </xdr:txBody>
    </xdr:sp>
    <xdr:clientData/>
  </xdr:twoCellAnchor>
  <xdr:twoCellAnchor>
    <xdr:from>
      <xdr:col>118</xdr:col>
      <xdr:colOff>139700</xdr:colOff>
      <xdr:row>18</xdr:row>
      <xdr:rowOff>92075</xdr:rowOff>
    </xdr:from>
    <xdr:to>
      <xdr:col>118</xdr:col>
      <xdr:colOff>11772900</xdr:colOff>
      <xdr:row>18</xdr:row>
      <xdr:rowOff>333375</xdr:rowOff>
    </xdr:to>
    <xdr:sp macro="" textlink="">
      <xdr:nvSpPr>
        <xdr:cNvPr id="191" name="TextBox 190">
          <a:hlinkClick xmlns:r="http://schemas.openxmlformats.org/officeDocument/2006/relationships" r:id="rId53"/>
        </xdr:cNvPr>
        <xdr:cNvSpPr txBox="1"/>
      </xdr:nvSpPr>
      <xdr:spPr>
        <a:xfrm>
          <a:off x="111486950" y="3192145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http://www.auburn.edu/~wcw0003/products/publications/carmichael-rh-w-walton--h.html</a:t>
          </a:r>
        </a:p>
      </xdr:txBody>
    </xdr:sp>
    <xdr:clientData/>
  </xdr:twoCellAnchor>
  <xdr:twoCellAnchor>
    <xdr:from>
      <xdr:col>118</xdr:col>
      <xdr:colOff>88900</xdr:colOff>
      <xdr:row>18</xdr:row>
      <xdr:rowOff>2085975</xdr:rowOff>
    </xdr:from>
    <xdr:to>
      <xdr:col>118</xdr:col>
      <xdr:colOff>11722100</xdr:colOff>
      <xdr:row>18</xdr:row>
      <xdr:rowOff>2327275</xdr:rowOff>
    </xdr:to>
    <xdr:sp macro="" textlink="">
      <xdr:nvSpPr>
        <xdr:cNvPr id="192" name="TextBox 191">
          <a:hlinkClick xmlns:r="http://schemas.openxmlformats.org/officeDocument/2006/relationships" r:id="rId54"/>
        </xdr:cNvPr>
        <xdr:cNvSpPr txBox="1"/>
      </xdr:nvSpPr>
      <xdr:spPr>
        <a:xfrm>
          <a:off x="111848900" y="428656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http://bayareamonitor.org/index.php?option=com_content&amp;view=article&amp;id=366&amp;Itemid=66</a:t>
          </a:r>
        </a:p>
      </xdr:txBody>
    </xdr:sp>
    <xdr:clientData/>
  </xdr:twoCellAnchor>
  <xdr:twoCellAnchor>
    <xdr:from>
      <xdr:col>118</xdr:col>
      <xdr:colOff>76200</xdr:colOff>
      <xdr:row>38</xdr:row>
      <xdr:rowOff>101600</xdr:rowOff>
    </xdr:from>
    <xdr:to>
      <xdr:col>118</xdr:col>
      <xdr:colOff>11709400</xdr:colOff>
      <xdr:row>38</xdr:row>
      <xdr:rowOff>342900</xdr:rowOff>
    </xdr:to>
    <xdr:sp macro="" textlink="">
      <xdr:nvSpPr>
        <xdr:cNvPr id="194" name="TextBox 193">
          <a:hlinkClick xmlns:r="http://schemas.openxmlformats.org/officeDocument/2006/relationships" r:id="rId10"/>
        </xdr:cNvPr>
        <xdr:cNvSpPr txBox="1"/>
      </xdr:nvSpPr>
      <xdr:spPr>
        <a:xfrm>
          <a:off x="111836200" y="966470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http://www.medoraco.com/</a:t>
          </a:r>
        </a:p>
      </xdr:txBody>
    </xdr:sp>
    <xdr:clientData/>
  </xdr:twoCellAnchor>
  <xdr:twoCellAnchor>
    <xdr:from>
      <xdr:col>118</xdr:col>
      <xdr:colOff>114300</xdr:colOff>
      <xdr:row>14</xdr:row>
      <xdr:rowOff>101600</xdr:rowOff>
    </xdr:from>
    <xdr:to>
      <xdr:col>118</xdr:col>
      <xdr:colOff>11747500</xdr:colOff>
      <xdr:row>14</xdr:row>
      <xdr:rowOff>342900</xdr:rowOff>
    </xdr:to>
    <xdr:sp macro="" textlink="">
      <xdr:nvSpPr>
        <xdr:cNvPr id="195" name="TextBox 194">
          <a:hlinkClick xmlns:r="http://schemas.openxmlformats.org/officeDocument/2006/relationships" r:id="rId2"/>
        </xdr:cNvPr>
        <xdr:cNvSpPr txBox="1"/>
      </xdr:nvSpPr>
      <xdr:spPr>
        <a:xfrm>
          <a:off x="111874300" y="264287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http://www.unh.edu/unhsc/sites/unh.edu.unhsc/files/asce_jee_maintenance.pdf </a:t>
          </a:r>
        </a:p>
      </xdr:txBody>
    </xdr:sp>
    <xdr:clientData/>
  </xdr:twoCellAnchor>
  <xdr:twoCellAnchor>
    <xdr:from>
      <xdr:col>118</xdr:col>
      <xdr:colOff>127000</xdr:colOff>
      <xdr:row>14</xdr:row>
      <xdr:rowOff>431800</xdr:rowOff>
    </xdr:from>
    <xdr:to>
      <xdr:col>118</xdr:col>
      <xdr:colOff>11760200</xdr:colOff>
      <xdr:row>14</xdr:row>
      <xdr:rowOff>673100</xdr:rowOff>
    </xdr:to>
    <xdr:sp macro="" textlink="">
      <xdr:nvSpPr>
        <xdr:cNvPr id="196" name="TextBox 195">
          <a:hlinkClick xmlns:r="http://schemas.openxmlformats.org/officeDocument/2006/relationships" r:id="rId2"/>
        </xdr:cNvPr>
        <xdr:cNvSpPr txBox="1"/>
      </xdr:nvSpPr>
      <xdr:spPr>
        <a:xfrm>
          <a:off x="111887000" y="267589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http://www.unh.edu/unhsc/sites/unh.edu.unhsc/files/docs/UNHSC.2012Report.10.10.12.pdf</a:t>
          </a:r>
        </a:p>
      </xdr:txBody>
    </xdr:sp>
    <xdr:clientData/>
  </xdr:twoCellAnchor>
  <xdr:twoCellAnchor>
    <xdr:from>
      <xdr:col>118</xdr:col>
      <xdr:colOff>139700</xdr:colOff>
      <xdr:row>14</xdr:row>
      <xdr:rowOff>1739900</xdr:rowOff>
    </xdr:from>
    <xdr:to>
      <xdr:col>118</xdr:col>
      <xdr:colOff>11772900</xdr:colOff>
      <xdr:row>14</xdr:row>
      <xdr:rowOff>1981200</xdr:rowOff>
    </xdr:to>
    <xdr:sp macro="" textlink="">
      <xdr:nvSpPr>
        <xdr:cNvPr id="197" name="TextBox 196">
          <a:hlinkClick xmlns:r="http://schemas.openxmlformats.org/officeDocument/2006/relationships" r:id="rId2"/>
        </xdr:cNvPr>
        <xdr:cNvSpPr txBox="1"/>
      </xdr:nvSpPr>
      <xdr:spPr>
        <a:xfrm>
          <a:off x="111899700" y="280670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http://www.environment.fhwa.dot.gov/(S(kmqmwz45xwbdsd2xihcmnifc))/ecosystems/ultraurb/3fs11.asp </a:t>
          </a:r>
        </a:p>
      </xdr:txBody>
    </xdr:sp>
    <xdr:clientData/>
  </xdr:twoCellAnchor>
  <xdr:twoCellAnchor>
    <xdr:from>
      <xdr:col>118</xdr:col>
      <xdr:colOff>139700</xdr:colOff>
      <xdr:row>14</xdr:row>
      <xdr:rowOff>1270000</xdr:rowOff>
    </xdr:from>
    <xdr:to>
      <xdr:col>118</xdr:col>
      <xdr:colOff>11772900</xdr:colOff>
      <xdr:row>14</xdr:row>
      <xdr:rowOff>1511300</xdr:rowOff>
    </xdr:to>
    <xdr:sp macro="" textlink="">
      <xdr:nvSpPr>
        <xdr:cNvPr id="198" name="TextBox 197">
          <a:hlinkClick xmlns:r="http://schemas.openxmlformats.org/officeDocument/2006/relationships" r:id="rId2"/>
        </xdr:cNvPr>
        <xdr:cNvSpPr txBox="1"/>
      </xdr:nvSpPr>
      <xdr:spPr>
        <a:xfrm>
          <a:off x="111899700" y="27597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http://www.academic.research.microsoft.com/Paper/2943904.aspx</a:t>
          </a:r>
        </a:p>
      </xdr:txBody>
    </xdr:sp>
    <xdr:clientData/>
  </xdr:twoCellAnchor>
  <xdr:twoCellAnchor>
    <xdr:from>
      <xdr:col>118</xdr:col>
      <xdr:colOff>152400</xdr:colOff>
      <xdr:row>14</xdr:row>
      <xdr:rowOff>762000</xdr:rowOff>
    </xdr:from>
    <xdr:to>
      <xdr:col>118</xdr:col>
      <xdr:colOff>11785600</xdr:colOff>
      <xdr:row>14</xdr:row>
      <xdr:rowOff>1003300</xdr:rowOff>
    </xdr:to>
    <xdr:sp macro="" textlink="">
      <xdr:nvSpPr>
        <xdr:cNvPr id="199" name="TextBox 198">
          <a:hlinkClick xmlns:r="http://schemas.openxmlformats.org/officeDocument/2006/relationships" r:id="rId2"/>
        </xdr:cNvPr>
        <xdr:cNvSpPr txBox="1"/>
      </xdr:nvSpPr>
      <xdr:spPr>
        <a:xfrm>
          <a:off x="111912400" y="27089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http://www.unh.edu/unhsc/sites/unh.edu.unhsc/files/pubs_specs_info/2009_unhsc_report.pdf </a:t>
          </a:r>
        </a:p>
      </xdr:txBody>
    </xdr:sp>
    <xdr:clientData/>
  </xdr:twoCellAnchor>
  <xdr:twoCellAnchor>
    <xdr:from>
      <xdr:col>118</xdr:col>
      <xdr:colOff>165100</xdr:colOff>
      <xdr:row>14</xdr:row>
      <xdr:rowOff>2413000</xdr:rowOff>
    </xdr:from>
    <xdr:to>
      <xdr:col>118</xdr:col>
      <xdr:colOff>11798300</xdr:colOff>
      <xdr:row>14</xdr:row>
      <xdr:rowOff>2654300</xdr:rowOff>
    </xdr:to>
    <xdr:sp macro="" textlink="">
      <xdr:nvSpPr>
        <xdr:cNvPr id="200" name="TextBox 199">
          <a:hlinkClick xmlns:r="http://schemas.openxmlformats.org/officeDocument/2006/relationships" r:id="rId2"/>
        </xdr:cNvPr>
        <xdr:cNvSpPr txBox="1"/>
      </xdr:nvSpPr>
      <xdr:spPr>
        <a:xfrm>
          <a:off x="111925100" y="287401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http://water.epa.gov/scitech/wastetech/upload/2002_06_28_mtb_biortn.pdf</a:t>
          </a:r>
        </a:p>
      </xdr:txBody>
    </xdr:sp>
    <xdr:clientData/>
  </xdr:twoCellAnchor>
  <xdr:twoCellAnchor>
    <xdr:from>
      <xdr:col>118</xdr:col>
      <xdr:colOff>139700</xdr:colOff>
      <xdr:row>14</xdr:row>
      <xdr:rowOff>2095500</xdr:rowOff>
    </xdr:from>
    <xdr:to>
      <xdr:col>118</xdr:col>
      <xdr:colOff>11772900</xdr:colOff>
      <xdr:row>14</xdr:row>
      <xdr:rowOff>2336800</xdr:rowOff>
    </xdr:to>
    <xdr:sp macro="" textlink="">
      <xdr:nvSpPr>
        <xdr:cNvPr id="201" name="TextBox 200">
          <a:hlinkClick xmlns:r="http://schemas.openxmlformats.org/officeDocument/2006/relationships" r:id="rId2"/>
        </xdr:cNvPr>
        <xdr:cNvSpPr txBox="1"/>
      </xdr:nvSpPr>
      <xdr:spPr>
        <a:xfrm>
          <a:off x="111899700" y="284226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http://www.watershedmanagement.vt.gov/stormwater/docs/manualrevision/sw_Fact_Sheet_Enhanced_Nutrient_Removal.pdf</a:t>
          </a:r>
        </a:p>
      </xdr:txBody>
    </xdr:sp>
    <xdr:clientData/>
  </xdr:twoCellAnchor>
  <xdr:twoCellAnchor>
    <xdr:from>
      <xdr:col>118</xdr:col>
      <xdr:colOff>165100</xdr:colOff>
      <xdr:row>17</xdr:row>
      <xdr:rowOff>3759200</xdr:rowOff>
    </xdr:from>
    <xdr:to>
      <xdr:col>118</xdr:col>
      <xdr:colOff>11798300</xdr:colOff>
      <xdr:row>17</xdr:row>
      <xdr:rowOff>4000500</xdr:rowOff>
    </xdr:to>
    <xdr:sp macro="" textlink="">
      <xdr:nvSpPr>
        <xdr:cNvPr id="202" name="TextBox 201">
          <a:hlinkClick xmlns:r="http://schemas.openxmlformats.org/officeDocument/2006/relationships" r:id="rId51"/>
        </xdr:cNvPr>
        <xdr:cNvSpPr txBox="1"/>
      </xdr:nvSpPr>
      <xdr:spPr>
        <a:xfrm>
          <a:off x="111925100" y="40157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http://www.fao.org/docrep/007/y5720e/y5720e02.htm#TopOfPage</a:t>
          </a:r>
        </a:p>
      </xdr:txBody>
    </xdr:sp>
    <xdr:clientData/>
  </xdr:twoCellAnchor>
  <xdr:twoCellAnchor>
    <xdr:from>
      <xdr:col>118</xdr:col>
      <xdr:colOff>177800</xdr:colOff>
      <xdr:row>17</xdr:row>
      <xdr:rowOff>3403600</xdr:rowOff>
    </xdr:from>
    <xdr:to>
      <xdr:col>118</xdr:col>
      <xdr:colOff>11811000</xdr:colOff>
      <xdr:row>17</xdr:row>
      <xdr:rowOff>3644900</xdr:rowOff>
    </xdr:to>
    <xdr:sp macro="" textlink="">
      <xdr:nvSpPr>
        <xdr:cNvPr id="203" name="TextBox 202">
          <a:hlinkClick xmlns:r="http://schemas.openxmlformats.org/officeDocument/2006/relationships" r:id="rId51"/>
        </xdr:cNvPr>
        <xdr:cNvSpPr txBox="1"/>
      </xdr:nvSpPr>
      <xdr:spPr>
        <a:xfrm>
          <a:off x="111937800" y="398018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http://www.oysterranching.com/background.html</a:t>
          </a:r>
        </a:p>
      </xdr:txBody>
    </xdr:sp>
    <xdr:clientData/>
  </xdr:twoCellAnchor>
  <xdr:twoCellAnchor>
    <xdr:from>
      <xdr:col>118</xdr:col>
      <xdr:colOff>139700</xdr:colOff>
      <xdr:row>30</xdr:row>
      <xdr:rowOff>1092200</xdr:rowOff>
    </xdr:from>
    <xdr:to>
      <xdr:col>118</xdr:col>
      <xdr:colOff>11772900</xdr:colOff>
      <xdr:row>30</xdr:row>
      <xdr:rowOff>1333500</xdr:rowOff>
    </xdr:to>
    <xdr:sp macro="" textlink="">
      <xdr:nvSpPr>
        <xdr:cNvPr id="193" name="TextBox 192">
          <a:hlinkClick xmlns:r="http://schemas.openxmlformats.org/officeDocument/2006/relationships" r:id="rId12"/>
        </xdr:cNvPr>
        <xdr:cNvSpPr txBox="1"/>
      </xdr:nvSpPr>
      <xdr:spPr>
        <a:xfrm>
          <a:off x="111899700" y="701548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http://www.3bays.org/pdfs/reports/2003-ThesisLisabethWhite.pdf..pdf</a:t>
          </a:r>
        </a:p>
      </xdr:txBody>
    </xdr:sp>
    <xdr:clientData/>
  </xdr:twoCellAnchor>
  <xdr:twoCellAnchor>
    <xdr:from>
      <xdr:col>118</xdr:col>
      <xdr:colOff>165100</xdr:colOff>
      <xdr:row>6</xdr:row>
      <xdr:rowOff>2578100</xdr:rowOff>
    </xdr:from>
    <xdr:to>
      <xdr:col>118</xdr:col>
      <xdr:colOff>11798300</xdr:colOff>
      <xdr:row>6</xdr:row>
      <xdr:rowOff>2819400</xdr:rowOff>
    </xdr:to>
    <xdr:sp macro="" textlink="">
      <xdr:nvSpPr>
        <xdr:cNvPr id="204" name="TextBox 203">
          <a:hlinkClick xmlns:r="http://schemas.openxmlformats.org/officeDocument/2006/relationships" r:id="rId46"/>
        </xdr:cNvPr>
        <xdr:cNvSpPr txBox="1"/>
      </xdr:nvSpPr>
      <xdr:spPr>
        <a:xfrm>
          <a:off x="111925100" y="44450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http://water.epa.gov/scitech/wastetech/upload/2002_06_28_mtb_wetlands-subsurface_flow.pdf</a:t>
          </a:r>
        </a:p>
      </xdr:txBody>
    </xdr:sp>
    <xdr:clientData/>
  </xdr:twoCellAnchor>
  <xdr:twoCellAnchor editAs="oneCell">
    <xdr:from>
      <xdr:col>2</xdr:col>
      <xdr:colOff>142874</xdr:colOff>
      <xdr:row>88</xdr:row>
      <xdr:rowOff>1535905</xdr:rowOff>
    </xdr:from>
    <xdr:to>
      <xdr:col>2</xdr:col>
      <xdr:colOff>1057274</xdr:colOff>
      <xdr:row>88</xdr:row>
      <xdr:rowOff>2450305</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49" y="200667936"/>
          <a:ext cx="914400" cy="914400"/>
        </a:xfrm>
        <a:prstGeom prst="rect">
          <a:avLst/>
        </a:prstGeom>
      </xdr:spPr>
    </xdr:pic>
    <xdr:clientData/>
  </xdr:twoCellAnchor>
  <xdr:twoCellAnchor editAs="oneCell">
    <xdr:from>
      <xdr:col>2</xdr:col>
      <xdr:colOff>154781</xdr:colOff>
      <xdr:row>87</xdr:row>
      <xdr:rowOff>2214563</xdr:rowOff>
    </xdr:from>
    <xdr:to>
      <xdr:col>2</xdr:col>
      <xdr:colOff>1069181</xdr:colOff>
      <xdr:row>87</xdr:row>
      <xdr:rowOff>3128963</xdr:rowOff>
    </xdr:to>
    <xdr:pic>
      <xdr:nvPicPr>
        <xdr:cNvPr id="205" name="Picture 20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3656" y="196143563"/>
          <a:ext cx="914400" cy="914400"/>
        </a:xfrm>
        <a:prstGeom prst="rect">
          <a:avLst/>
        </a:prstGeom>
      </xdr:spPr>
    </xdr:pic>
    <xdr:clientData/>
  </xdr:twoCellAnchor>
  <xdr:twoCellAnchor editAs="oneCell">
    <xdr:from>
      <xdr:col>2</xdr:col>
      <xdr:colOff>154782</xdr:colOff>
      <xdr:row>86</xdr:row>
      <xdr:rowOff>1535905</xdr:rowOff>
    </xdr:from>
    <xdr:to>
      <xdr:col>2</xdr:col>
      <xdr:colOff>1069182</xdr:colOff>
      <xdr:row>86</xdr:row>
      <xdr:rowOff>2450305</xdr:rowOff>
    </xdr:to>
    <xdr:pic>
      <xdr:nvPicPr>
        <xdr:cNvPr id="206" name="Picture 20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3657" y="191464405"/>
          <a:ext cx="914400" cy="914400"/>
        </a:xfrm>
        <a:prstGeom prst="rect">
          <a:avLst/>
        </a:prstGeom>
      </xdr:spPr>
    </xdr:pic>
    <xdr:clientData/>
  </xdr:twoCellAnchor>
  <xdr:twoCellAnchor editAs="oneCell">
    <xdr:from>
      <xdr:col>2</xdr:col>
      <xdr:colOff>154780</xdr:colOff>
      <xdr:row>80</xdr:row>
      <xdr:rowOff>523871</xdr:rowOff>
    </xdr:from>
    <xdr:to>
      <xdr:col>2</xdr:col>
      <xdr:colOff>1069180</xdr:colOff>
      <xdr:row>80</xdr:row>
      <xdr:rowOff>1438271</xdr:rowOff>
    </xdr:to>
    <xdr:pic>
      <xdr:nvPicPr>
        <xdr:cNvPr id="207" name="Picture 20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3655" y="171759559"/>
          <a:ext cx="914400" cy="914400"/>
        </a:xfrm>
        <a:prstGeom prst="rect">
          <a:avLst/>
        </a:prstGeom>
      </xdr:spPr>
    </xdr:pic>
    <xdr:clientData/>
  </xdr:twoCellAnchor>
  <xdr:twoCellAnchor editAs="oneCell">
    <xdr:from>
      <xdr:col>2</xdr:col>
      <xdr:colOff>155572</xdr:colOff>
      <xdr:row>81</xdr:row>
      <xdr:rowOff>416710</xdr:rowOff>
    </xdr:from>
    <xdr:to>
      <xdr:col>2</xdr:col>
      <xdr:colOff>1069972</xdr:colOff>
      <xdr:row>81</xdr:row>
      <xdr:rowOff>1331110</xdr:rowOff>
    </xdr:to>
    <xdr:pic>
      <xdr:nvPicPr>
        <xdr:cNvPr id="208" name="Picture 2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8572" y="173733610"/>
          <a:ext cx="914400" cy="914400"/>
        </a:xfrm>
        <a:prstGeom prst="rect">
          <a:avLst/>
        </a:prstGeom>
      </xdr:spPr>
    </xdr:pic>
    <xdr:clientData/>
  </xdr:twoCellAnchor>
  <xdr:twoCellAnchor editAs="oneCell">
    <xdr:from>
      <xdr:col>2</xdr:col>
      <xdr:colOff>154781</xdr:colOff>
      <xdr:row>83</xdr:row>
      <xdr:rowOff>1119187</xdr:rowOff>
    </xdr:from>
    <xdr:to>
      <xdr:col>2</xdr:col>
      <xdr:colOff>1069181</xdr:colOff>
      <xdr:row>83</xdr:row>
      <xdr:rowOff>2033587</xdr:rowOff>
    </xdr:to>
    <xdr:pic>
      <xdr:nvPicPr>
        <xdr:cNvPr id="209" name="Picture 20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3656" y="181284562"/>
          <a:ext cx="914400" cy="914400"/>
        </a:xfrm>
        <a:prstGeom prst="rect">
          <a:avLst/>
        </a:prstGeom>
      </xdr:spPr>
    </xdr:pic>
    <xdr:clientData/>
  </xdr:twoCellAnchor>
  <xdr:twoCellAnchor editAs="oneCell">
    <xdr:from>
      <xdr:col>2</xdr:col>
      <xdr:colOff>155575</xdr:colOff>
      <xdr:row>84</xdr:row>
      <xdr:rowOff>1117601</xdr:rowOff>
    </xdr:from>
    <xdr:to>
      <xdr:col>2</xdr:col>
      <xdr:colOff>1069975</xdr:colOff>
      <xdr:row>84</xdr:row>
      <xdr:rowOff>2032001</xdr:rowOff>
    </xdr:to>
    <xdr:pic>
      <xdr:nvPicPr>
        <xdr:cNvPr id="211" name="Picture 2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8575" y="184531001"/>
          <a:ext cx="914400" cy="914400"/>
        </a:xfrm>
        <a:prstGeom prst="rect">
          <a:avLst/>
        </a:prstGeom>
      </xdr:spPr>
    </xdr:pic>
    <xdr:clientData/>
  </xdr:twoCellAnchor>
  <xdr:twoCellAnchor editAs="oneCell">
    <xdr:from>
      <xdr:col>2</xdr:col>
      <xdr:colOff>152399</xdr:colOff>
      <xdr:row>79</xdr:row>
      <xdr:rowOff>558799</xdr:rowOff>
    </xdr:from>
    <xdr:to>
      <xdr:col>2</xdr:col>
      <xdr:colOff>1066799</xdr:colOff>
      <xdr:row>79</xdr:row>
      <xdr:rowOff>1473199</xdr:rowOff>
    </xdr:to>
    <xdr:pic>
      <xdr:nvPicPr>
        <xdr:cNvPr id="55" name="Picture 54"/>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2565399" y="169989499"/>
          <a:ext cx="914400" cy="914400"/>
        </a:xfrm>
        <a:prstGeom prst="rect">
          <a:avLst/>
        </a:prstGeom>
      </xdr:spPr>
    </xdr:pic>
    <xdr:clientData/>
  </xdr:twoCellAnchor>
  <xdr:twoCellAnchor editAs="oneCell">
    <xdr:from>
      <xdr:col>2</xdr:col>
      <xdr:colOff>165099</xdr:colOff>
      <xdr:row>69</xdr:row>
      <xdr:rowOff>25399</xdr:rowOff>
    </xdr:from>
    <xdr:to>
      <xdr:col>2</xdr:col>
      <xdr:colOff>1079499</xdr:colOff>
      <xdr:row>69</xdr:row>
      <xdr:rowOff>927100</xdr:rowOff>
    </xdr:to>
    <xdr:pic>
      <xdr:nvPicPr>
        <xdr:cNvPr id="60" name="Picture 59"/>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2578099" y="175971199"/>
          <a:ext cx="914400" cy="901701"/>
        </a:xfrm>
        <a:prstGeom prst="rect">
          <a:avLst/>
        </a:prstGeom>
      </xdr:spPr>
    </xdr:pic>
    <xdr:clientData/>
  </xdr:twoCellAnchor>
  <xdr:twoCellAnchor editAs="oneCell">
    <xdr:from>
      <xdr:col>2</xdr:col>
      <xdr:colOff>152399</xdr:colOff>
      <xdr:row>68</xdr:row>
      <xdr:rowOff>1841499</xdr:rowOff>
    </xdr:from>
    <xdr:to>
      <xdr:col>2</xdr:col>
      <xdr:colOff>1070641</xdr:colOff>
      <xdr:row>68</xdr:row>
      <xdr:rowOff>2755899</xdr:rowOff>
    </xdr:to>
    <xdr:pic>
      <xdr:nvPicPr>
        <xdr:cNvPr id="64" name="Picture 63"/>
        <xdr:cNvPicPr>
          <a:picLocks noChangeAspect="1"/>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2565399" y="164299899"/>
          <a:ext cx="918242" cy="914400"/>
        </a:xfrm>
        <a:prstGeom prst="rect">
          <a:avLst/>
        </a:prstGeom>
      </xdr:spPr>
    </xdr:pic>
    <xdr:clientData/>
  </xdr:twoCellAnchor>
  <xdr:twoCellAnchor editAs="oneCell">
    <xdr:from>
      <xdr:col>2</xdr:col>
      <xdr:colOff>152399</xdr:colOff>
      <xdr:row>63</xdr:row>
      <xdr:rowOff>584199</xdr:rowOff>
    </xdr:from>
    <xdr:to>
      <xdr:col>2</xdr:col>
      <xdr:colOff>1066799</xdr:colOff>
      <xdr:row>63</xdr:row>
      <xdr:rowOff>1498599</xdr:rowOff>
    </xdr:to>
    <xdr:pic>
      <xdr:nvPicPr>
        <xdr:cNvPr id="65" name="Picture 64"/>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565399" y="156273499"/>
          <a:ext cx="914400" cy="914400"/>
        </a:xfrm>
        <a:prstGeom prst="rect">
          <a:avLst/>
        </a:prstGeom>
      </xdr:spPr>
    </xdr:pic>
    <xdr:clientData/>
  </xdr:twoCellAnchor>
  <xdr:twoCellAnchor editAs="oneCell">
    <xdr:from>
      <xdr:col>2</xdr:col>
      <xdr:colOff>152399</xdr:colOff>
      <xdr:row>66</xdr:row>
      <xdr:rowOff>774699</xdr:rowOff>
    </xdr:from>
    <xdr:to>
      <xdr:col>2</xdr:col>
      <xdr:colOff>1066799</xdr:colOff>
      <xdr:row>66</xdr:row>
      <xdr:rowOff>1689099</xdr:rowOff>
    </xdr:to>
    <xdr:pic>
      <xdr:nvPicPr>
        <xdr:cNvPr id="212" name="Picture 211"/>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565399" y="158546799"/>
          <a:ext cx="914400" cy="914400"/>
        </a:xfrm>
        <a:prstGeom prst="rect">
          <a:avLst/>
        </a:prstGeom>
      </xdr:spPr>
    </xdr:pic>
    <xdr:clientData/>
  </xdr:twoCellAnchor>
  <xdr:twoCellAnchor editAs="oneCell">
    <xdr:from>
      <xdr:col>2</xdr:col>
      <xdr:colOff>152399</xdr:colOff>
      <xdr:row>67</xdr:row>
      <xdr:rowOff>723899</xdr:rowOff>
    </xdr:from>
    <xdr:to>
      <xdr:col>2</xdr:col>
      <xdr:colOff>1066799</xdr:colOff>
      <xdr:row>67</xdr:row>
      <xdr:rowOff>1638299</xdr:rowOff>
    </xdr:to>
    <xdr:pic>
      <xdr:nvPicPr>
        <xdr:cNvPr id="213" name="Picture 212"/>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565399" y="160845499"/>
          <a:ext cx="914400" cy="914400"/>
        </a:xfrm>
        <a:prstGeom prst="rect">
          <a:avLst/>
        </a:prstGeom>
      </xdr:spPr>
    </xdr:pic>
    <xdr:clientData/>
  </xdr:twoCellAnchor>
  <xdr:twoCellAnchor editAs="oneCell">
    <xdr:from>
      <xdr:col>2</xdr:col>
      <xdr:colOff>152400</xdr:colOff>
      <xdr:row>61</xdr:row>
      <xdr:rowOff>1066800</xdr:rowOff>
    </xdr:from>
    <xdr:to>
      <xdr:col>2</xdr:col>
      <xdr:colOff>1066800</xdr:colOff>
      <xdr:row>61</xdr:row>
      <xdr:rowOff>1981200</xdr:rowOff>
    </xdr:to>
    <xdr:pic>
      <xdr:nvPicPr>
        <xdr:cNvPr id="214" name="Picture 213"/>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565400" y="151244300"/>
          <a:ext cx="914400" cy="914400"/>
        </a:xfrm>
        <a:prstGeom prst="rect">
          <a:avLst/>
        </a:prstGeom>
      </xdr:spPr>
    </xdr:pic>
    <xdr:clientData/>
  </xdr:twoCellAnchor>
  <xdr:twoCellAnchor editAs="oneCell">
    <xdr:from>
      <xdr:col>2</xdr:col>
      <xdr:colOff>152400</xdr:colOff>
      <xdr:row>62</xdr:row>
      <xdr:rowOff>863600</xdr:rowOff>
    </xdr:from>
    <xdr:to>
      <xdr:col>2</xdr:col>
      <xdr:colOff>1066800</xdr:colOff>
      <xdr:row>62</xdr:row>
      <xdr:rowOff>1778000</xdr:rowOff>
    </xdr:to>
    <xdr:pic>
      <xdr:nvPicPr>
        <xdr:cNvPr id="215" name="Picture 214"/>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565400" y="154038300"/>
          <a:ext cx="914400" cy="914400"/>
        </a:xfrm>
        <a:prstGeom prst="rect">
          <a:avLst/>
        </a:prstGeom>
      </xdr:spPr>
    </xdr:pic>
    <xdr:clientData/>
  </xdr:twoCellAnchor>
  <xdr:twoCellAnchor editAs="oneCell">
    <xdr:from>
      <xdr:col>2</xdr:col>
      <xdr:colOff>152399</xdr:colOff>
      <xdr:row>57</xdr:row>
      <xdr:rowOff>825499</xdr:rowOff>
    </xdr:from>
    <xdr:to>
      <xdr:col>2</xdr:col>
      <xdr:colOff>1066799</xdr:colOff>
      <xdr:row>57</xdr:row>
      <xdr:rowOff>1739899</xdr:rowOff>
    </xdr:to>
    <xdr:pic>
      <xdr:nvPicPr>
        <xdr:cNvPr id="67" name="Picture 66"/>
        <xdr:cNvPicPr>
          <a:picLocks noChangeAspect="1"/>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2565399" y="145237199"/>
          <a:ext cx="914400" cy="914400"/>
        </a:xfrm>
        <a:prstGeom prst="rect">
          <a:avLst/>
        </a:prstGeom>
      </xdr:spPr>
    </xdr:pic>
    <xdr:clientData/>
  </xdr:twoCellAnchor>
  <xdr:twoCellAnchor editAs="oneCell">
    <xdr:from>
      <xdr:col>2</xdr:col>
      <xdr:colOff>152400</xdr:colOff>
      <xdr:row>60</xdr:row>
      <xdr:rowOff>101600</xdr:rowOff>
    </xdr:from>
    <xdr:to>
      <xdr:col>2</xdr:col>
      <xdr:colOff>1066800</xdr:colOff>
      <xdr:row>60</xdr:row>
      <xdr:rowOff>1016000</xdr:rowOff>
    </xdr:to>
    <xdr:pic>
      <xdr:nvPicPr>
        <xdr:cNvPr id="216" name="Picture 215"/>
        <xdr:cNvPicPr>
          <a:picLocks noChangeAspect="1"/>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2565400" y="148132800"/>
          <a:ext cx="914400" cy="914400"/>
        </a:xfrm>
        <a:prstGeom prst="rect">
          <a:avLst/>
        </a:prstGeom>
      </xdr:spPr>
    </xdr:pic>
    <xdr:clientData/>
  </xdr:twoCellAnchor>
  <xdr:twoCellAnchor editAs="oneCell">
    <xdr:from>
      <xdr:col>2</xdr:col>
      <xdr:colOff>139699</xdr:colOff>
      <xdr:row>53</xdr:row>
      <xdr:rowOff>1155699</xdr:rowOff>
    </xdr:from>
    <xdr:to>
      <xdr:col>2</xdr:col>
      <xdr:colOff>1073149</xdr:colOff>
      <xdr:row>54</xdr:row>
      <xdr:rowOff>469899</xdr:rowOff>
    </xdr:to>
    <xdr:pic>
      <xdr:nvPicPr>
        <xdr:cNvPr id="68" name="Picture 67"/>
        <xdr:cNvPicPr>
          <a:picLocks noChangeAspect="1"/>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2578099" y="139420599"/>
          <a:ext cx="933450" cy="914400"/>
        </a:xfrm>
        <a:prstGeom prst="rect">
          <a:avLst/>
        </a:prstGeom>
      </xdr:spPr>
    </xdr:pic>
    <xdr:clientData/>
  </xdr:twoCellAnchor>
  <xdr:twoCellAnchor editAs="oneCell">
    <xdr:from>
      <xdr:col>2</xdr:col>
      <xdr:colOff>152399</xdr:colOff>
      <xdr:row>49</xdr:row>
      <xdr:rowOff>600074</xdr:rowOff>
    </xdr:from>
    <xdr:to>
      <xdr:col>2</xdr:col>
      <xdr:colOff>1066799</xdr:colOff>
      <xdr:row>49</xdr:row>
      <xdr:rowOff>1523999</xdr:rowOff>
    </xdr:to>
    <xdr:pic>
      <xdr:nvPicPr>
        <xdr:cNvPr id="70" name="Picture 69"/>
        <xdr:cNvPicPr>
          <a:picLocks noChangeAspect="1"/>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2565399" y="130381374"/>
          <a:ext cx="914400" cy="923925"/>
        </a:xfrm>
        <a:prstGeom prst="rect">
          <a:avLst/>
        </a:prstGeom>
      </xdr:spPr>
    </xdr:pic>
    <xdr:clientData/>
  </xdr:twoCellAnchor>
  <xdr:twoCellAnchor editAs="oneCell">
    <xdr:from>
      <xdr:col>2</xdr:col>
      <xdr:colOff>152399</xdr:colOff>
      <xdr:row>50</xdr:row>
      <xdr:rowOff>942974</xdr:rowOff>
    </xdr:from>
    <xdr:to>
      <xdr:col>2</xdr:col>
      <xdr:colOff>1066799</xdr:colOff>
      <xdr:row>50</xdr:row>
      <xdr:rowOff>1866899</xdr:rowOff>
    </xdr:to>
    <xdr:pic>
      <xdr:nvPicPr>
        <xdr:cNvPr id="217" name="Picture 216"/>
        <xdr:cNvPicPr>
          <a:picLocks noChangeAspect="1"/>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2565399" y="132819774"/>
          <a:ext cx="914400" cy="923925"/>
        </a:xfrm>
        <a:prstGeom prst="rect">
          <a:avLst/>
        </a:prstGeom>
      </xdr:spPr>
    </xdr:pic>
    <xdr:clientData/>
  </xdr:twoCellAnchor>
  <xdr:twoCellAnchor editAs="oneCell">
    <xdr:from>
      <xdr:col>2</xdr:col>
      <xdr:colOff>152399</xdr:colOff>
      <xdr:row>48</xdr:row>
      <xdr:rowOff>660399</xdr:rowOff>
    </xdr:from>
    <xdr:to>
      <xdr:col>2</xdr:col>
      <xdr:colOff>1066799</xdr:colOff>
      <xdr:row>48</xdr:row>
      <xdr:rowOff>1574799</xdr:rowOff>
    </xdr:to>
    <xdr:pic>
      <xdr:nvPicPr>
        <xdr:cNvPr id="71" name="Picture 70"/>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2565399" y="128282699"/>
          <a:ext cx="914400" cy="914400"/>
        </a:xfrm>
        <a:prstGeom prst="rect">
          <a:avLst/>
        </a:prstGeom>
      </xdr:spPr>
    </xdr:pic>
    <xdr:clientData/>
  </xdr:twoCellAnchor>
  <xdr:twoCellAnchor editAs="oneCell">
    <xdr:from>
      <xdr:col>2</xdr:col>
      <xdr:colOff>139699</xdr:colOff>
      <xdr:row>47</xdr:row>
      <xdr:rowOff>1269999</xdr:rowOff>
    </xdr:from>
    <xdr:to>
      <xdr:col>2</xdr:col>
      <xdr:colOff>1054099</xdr:colOff>
      <xdr:row>47</xdr:row>
      <xdr:rowOff>2184399</xdr:rowOff>
    </xdr:to>
    <xdr:pic>
      <xdr:nvPicPr>
        <xdr:cNvPr id="72" name="Picture 71"/>
        <xdr:cNvPicPr>
          <a:picLocks noChangeAspect="1"/>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2552699" y="125488699"/>
          <a:ext cx="914400" cy="914400"/>
        </a:xfrm>
        <a:prstGeom prst="rect">
          <a:avLst/>
        </a:prstGeom>
      </xdr:spPr>
    </xdr:pic>
    <xdr:clientData/>
  </xdr:twoCellAnchor>
  <xdr:twoCellAnchor editAs="oneCell">
    <xdr:from>
      <xdr:col>2</xdr:col>
      <xdr:colOff>165099</xdr:colOff>
      <xdr:row>45</xdr:row>
      <xdr:rowOff>749299</xdr:rowOff>
    </xdr:from>
    <xdr:to>
      <xdr:col>2</xdr:col>
      <xdr:colOff>1079499</xdr:colOff>
      <xdr:row>45</xdr:row>
      <xdr:rowOff>1663699</xdr:rowOff>
    </xdr:to>
    <xdr:pic>
      <xdr:nvPicPr>
        <xdr:cNvPr id="75" name="Picture 74"/>
        <xdr:cNvPicPr>
          <a:picLocks noChangeAspect="1"/>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2578099" y="120383299"/>
          <a:ext cx="914400" cy="914400"/>
        </a:xfrm>
        <a:prstGeom prst="rect">
          <a:avLst/>
        </a:prstGeom>
      </xdr:spPr>
    </xdr:pic>
    <xdr:clientData/>
  </xdr:twoCellAnchor>
  <xdr:twoCellAnchor editAs="oneCell">
    <xdr:from>
      <xdr:col>2</xdr:col>
      <xdr:colOff>152399</xdr:colOff>
      <xdr:row>44</xdr:row>
      <xdr:rowOff>457199</xdr:rowOff>
    </xdr:from>
    <xdr:to>
      <xdr:col>2</xdr:col>
      <xdr:colOff>1066799</xdr:colOff>
      <xdr:row>44</xdr:row>
      <xdr:rowOff>1371599</xdr:rowOff>
    </xdr:to>
    <xdr:pic>
      <xdr:nvPicPr>
        <xdr:cNvPr id="77" name="Picture 76"/>
        <xdr:cNvPicPr>
          <a:picLocks noChangeAspect="1"/>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2565399" y="118313199"/>
          <a:ext cx="914400" cy="914400"/>
        </a:xfrm>
        <a:prstGeom prst="rect">
          <a:avLst/>
        </a:prstGeom>
      </xdr:spPr>
    </xdr:pic>
    <xdr:clientData/>
  </xdr:twoCellAnchor>
  <xdr:twoCellAnchor editAs="oneCell">
    <xdr:from>
      <xdr:col>2</xdr:col>
      <xdr:colOff>152399</xdr:colOff>
      <xdr:row>43</xdr:row>
      <xdr:rowOff>495299</xdr:rowOff>
    </xdr:from>
    <xdr:to>
      <xdr:col>2</xdr:col>
      <xdr:colOff>1066799</xdr:colOff>
      <xdr:row>43</xdr:row>
      <xdr:rowOff>1409699</xdr:rowOff>
    </xdr:to>
    <xdr:pic>
      <xdr:nvPicPr>
        <xdr:cNvPr id="78" name="Picture 77"/>
        <xdr:cNvPicPr>
          <a:picLocks noChangeAspect="1"/>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2565399" y="116446299"/>
          <a:ext cx="914400" cy="914400"/>
        </a:xfrm>
        <a:prstGeom prst="rect">
          <a:avLst/>
        </a:prstGeom>
      </xdr:spPr>
    </xdr:pic>
    <xdr:clientData/>
  </xdr:twoCellAnchor>
  <xdr:twoCellAnchor editAs="oneCell">
    <xdr:from>
      <xdr:col>2</xdr:col>
      <xdr:colOff>152399</xdr:colOff>
      <xdr:row>42</xdr:row>
      <xdr:rowOff>346074</xdr:rowOff>
    </xdr:from>
    <xdr:to>
      <xdr:col>2</xdr:col>
      <xdr:colOff>1066799</xdr:colOff>
      <xdr:row>42</xdr:row>
      <xdr:rowOff>1269999</xdr:rowOff>
    </xdr:to>
    <xdr:pic>
      <xdr:nvPicPr>
        <xdr:cNvPr id="79" name="Picture 78"/>
        <xdr:cNvPicPr>
          <a:picLocks noChangeAspect="1"/>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2565399" y="114684174"/>
          <a:ext cx="914400" cy="923925"/>
        </a:xfrm>
        <a:prstGeom prst="rect">
          <a:avLst/>
        </a:prstGeom>
      </xdr:spPr>
    </xdr:pic>
    <xdr:clientData/>
  </xdr:twoCellAnchor>
  <xdr:twoCellAnchor editAs="oneCell">
    <xdr:from>
      <xdr:col>2</xdr:col>
      <xdr:colOff>152399</xdr:colOff>
      <xdr:row>41</xdr:row>
      <xdr:rowOff>2212974</xdr:rowOff>
    </xdr:from>
    <xdr:to>
      <xdr:col>2</xdr:col>
      <xdr:colOff>1066799</xdr:colOff>
      <xdr:row>41</xdr:row>
      <xdr:rowOff>3136899</xdr:rowOff>
    </xdr:to>
    <xdr:pic>
      <xdr:nvPicPr>
        <xdr:cNvPr id="111" name="Picture 110"/>
        <xdr:cNvPicPr>
          <a:picLocks noChangeAspect="1"/>
        </xdr:cNvPicPr>
      </xdr:nvPicPr>
      <xdr:blipFill>
        <a:blip xmlns:r="http://schemas.openxmlformats.org/officeDocument/2006/relationships" r:embed="rId68">
          <a:extLst>
            <a:ext uri="{28A0092B-C50C-407E-A947-70E740481C1C}">
              <a14:useLocalDpi xmlns:a14="http://schemas.microsoft.com/office/drawing/2010/main" val="0"/>
            </a:ext>
          </a:extLst>
        </a:blip>
        <a:stretch>
          <a:fillRect/>
        </a:stretch>
      </xdr:blipFill>
      <xdr:spPr>
        <a:xfrm>
          <a:off x="2565399" y="111344074"/>
          <a:ext cx="914400" cy="923925"/>
        </a:xfrm>
        <a:prstGeom prst="rect">
          <a:avLst/>
        </a:prstGeom>
      </xdr:spPr>
    </xdr:pic>
    <xdr:clientData/>
  </xdr:twoCellAnchor>
  <xdr:twoCellAnchor editAs="oneCell">
    <xdr:from>
      <xdr:col>2</xdr:col>
      <xdr:colOff>152399</xdr:colOff>
      <xdr:row>37</xdr:row>
      <xdr:rowOff>1003299</xdr:rowOff>
    </xdr:from>
    <xdr:to>
      <xdr:col>2</xdr:col>
      <xdr:colOff>1066799</xdr:colOff>
      <xdr:row>37</xdr:row>
      <xdr:rowOff>1917699</xdr:rowOff>
    </xdr:to>
    <xdr:pic>
      <xdr:nvPicPr>
        <xdr:cNvPr id="124" name="Picture 123"/>
        <xdr:cNvPicPr>
          <a:picLocks noChangeAspect="1"/>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2565399" y="94868999"/>
          <a:ext cx="914400" cy="914400"/>
        </a:xfrm>
        <a:prstGeom prst="rect">
          <a:avLst/>
        </a:prstGeom>
      </xdr:spPr>
    </xdr:pic>
    <xdr:clientData/>
  </xdr:twoCellAnchor>
  <xdr:twoCellAnchor editAs="oneCell">
    <xdr:from>
      <xdr:col>2</xdr:col>
      <xdr:colOff>126999</xdr:colOff>
      <xdr:row>35</xdr:row>
      <xdr:rowOff>761999</xdr:rowOff>
    </xdr:from>
    <xdr:to>
      <xdr:col>2</xdr:col>
      <xdr:colOff>1073483</xdr:colOff>
      <xdr:row>35</xdr:row>
      <xdr:rowOff>1676399</xdr:rowOff>
    </xdr:to>
    <xdr:pic>
      <xdr:nvPicPr>
        <xdr:cNvPr id="142" name="Picture 141"/>
        <xdr:cNvPicPr>
          <a:picLocks noChangeAspect="1"/>
        </xdr:cNvPicPr>
      </xdr:nvPicPr>
      <xdr:blipFill>
        <a:blip xmlns:r="http://schemas.openxmlformats.org/officeDocument/2006/relationships" r:embed="rId70">
          <a:extLst>
            <a:ext uri="{28A0092B-C50C-407E-A947-70E740481C1C}">
              <a14:useLocalDpi xmlns:a14="http://schemas.microsoft.com/office/drawing/2010/main" val="0"/>
            </a:ext>
          </a:extLst>
        </a:blip>
        <a:stretch>
          <a:fillRect/>
        </a:stretch>
      </xdr:blipFill>
      <xdr:spPr>
        <a:xfrm>
          <a:off x="2539999" y="89928699"/>
          <a:ext cx="946484" cy="914400"/>
        </a:xfrm>
        <a:prstGeom prst="rect">
          <a:avLst/>
        </a:prstGeom>
      </xdr:spPr>
    </xdr:pic>
    <xdr:clientData/>
  </xdr:twoCellAnchor>
  <xdr:twoCellAnchor editAs="oneCell">
    <xdr:from>
      <xdr:col>2</xdr:col>
      <xdr:colOff>152399</xdr:colOff>
      <xdr:row>34</xdr:row>
      <xdr:rowOff>2158999</xdr:rowOff>
    </xdr:from>
    <xdr:to>
      <xdr:col>2</xdr:col>
      <xdr:colOff>1066799</xdr:colOff>
      <xdr:row>34</xdr:row>
      <xdr:rowOff>3073399</xdr:rowOff>
    </xdr:to>
    <xdr:pic>
      <xdr:nvPicPr>
        <xdr:cNvPr id="143" name="Picture 142"/>
        <xdr:cNvPicPr>
          <a:picLocks noChangeAspect="1"/>
        </xdr:cNvPicPr>
      </xdr:nvPicPr>
      <xdr:blipFill>
        <a:blip xmlns:r="http://schemas.openxmlformats.org/officeDocument/2006/relationships" r:embed="rId71">
          <a:extLst>
            <a:ext uri="{28A0092B-C50C-407E-A947-70E740481C1C}">
              <a14:useLocalDpi xmlns:a14="http://schemas.microsoft.com/office/drawing/2010/main" val="0"/>
            </a:ext>
          </a:extLst>
        </a:blip>
        <a:stretch>
          <a:fillRect/>
        </a:stretch>
      </xdr:blipFill>
      <xdr:spPr>
        <a:xfrm>
          <a:off x="2565399" y="86118699"/>
          <a:ext cx="914400" cy="914400"/>
        </a:xfrm>
        <a:prstGeom prst="rect">
          <a:avLst/>
        </a:prstGeom>
      </xdr:spPr>
    </xdr:pic>
    <xdr:clientData/>
  </xdr:twoCellAnchor>
  <xdr:twoCellAnchor editAs="oneCell">
    <xdr:from>
      <xdr:col>2</xdr:col>
      <xdr:colOff>152399</xdr:colOff>
      <xdr:row>33</xdr:row>
      <xdr:rowOff>1523999</xdr:rowOff>
    </xdr:from>
    <xdr:to>
      <xdr:col>2</xdr:col>
      <xdr:colOff>1066799</xdr:colOff>
      <xdr:row>33</xdr:row>
      <xdr:rowOff>2438399</xdr:rowOff>
    </xdr:to>
    <xdr:pic>
      <xdr:nvPicPr>
        <xdr:cNvPr id="144" name="Picture 143"/>
        <xdr:cNvPicPr>
          <a:picLocks noChangeAspect="1"/>
        </xdr:cNvPicPr>
      </xdr:nvPicPr>
      <xdr:blipFill>
        <a:blip xmlns:r="http://schemas.openxmlformats.org/officeDocument/2006/relationships" r:embed="rId72">
          <a:extLst>
            <a:ext uri="{28A0092B-C50C-407E-A947-70E740481C1C}">
              <a14:useLocalDpi xmlns:a14="http://schemas.microsoft.com/office/drawing/2010/main" val="0"/>
            </a:ext>
          </a:extLst>
        </a:blip>
        <a:stretch>
          <a:fillRect/>
        </a:stretch>
      </xdr:blipFill>
      <xdr:spPr>
        <a:xfrm>
          <a:off x="2565399" y="81597499"/>
          <a:ext cx="914400" cy="914400"/>
        </a:xfrm>
        <a:prstGeom prst="rect">
          <a:avLst/>
        </a:prstGeom>
      </xdr:spPr>
    </xdr:pic>
    <xdr:clientData/>
  </xdr:twoCellAnchor>
  <xdr:twoCellAnchor editAs="oneCell">
    <xdr:from>
      <xdr:col>2</xdr:col>
      <xdr:colOff>152399</xdr:colOff>
      <xdr:row>32</xdr:row>
      <xdr:rowOff>765174</xdr:rowOff>
    </xdr:from>
    <xdr:to>
      <xdr:col>2</xdr:col>
      <xdr:colOff>1066799</xdr:colOff>
      <xdr:row>32</xdr:row>
      <xdr:rowOff>1689099</xdr:rowOff>
    </xdr:to>
    <xdr:pic>
      <xdr:nvPicPr>
        <xdr:cNvPr id="145" name="Picture 144"/>
        <xdr:cNvPicPr>
          <a:picLocks noChangeAspect="1"/>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2565399" y="78412974"/>
          <a:ext cx="914400" cy="923925"/>
        </a:xfrm>
        <a:prstGeom prst="rect">
          <a:avLst/>
        </a:prstGeom>
      </xdr:spPr>
    </xdr:pic>
    <xdr:clientData/>
  </xdr:twoCellAnchor>
  <xdr:twoCellAnchor editAs="oneCell">
    <xdr:from>
      <xdr:col>2</xdr:col>
      <xdr:colOff>152399</xdr:colOff>
      <xdr:row>31</xdr:row>
      <xdr:rowOff>2171699</xdr:rowOff>
    </xdr:from>
    <xdr:to>
      <xdr:col>2</xdr:col>
      <xdr:colOff>1066799</xdr:colOff>
      <xdr:row>31</xdr:row>
      <xdr:rowOff>3086099</xdr:rowOff>
    </xdr:to>
    <xdr:pic>
      <xdr:nvPicPr>
        <xdr:cNvPr id="158" name="Picture 157"/>
        <xdr:cNvPicPr>
          <a:picLocks noChangeAspect="1"/>
        </xdr:cNvPicPr>
      </xdr:nvPicPr>
      <xdr:blipFill>
        <a:blip xmlns:r="http://schemas.openxmlformats.org/officeDocument/2006/relationships" r:embed="rId74">
          <a:extLst>
            <a:ext uri="{28A0092B-C50C-407E-A947-70E740481C1C}">
              <a14:useLocalDpi xmlns:a14="http://schemas.microsoft.com/office/drawing/2010/main" val="0"/>
            </a:ext>
          </a:extLst>
        </a:blip>
        <a:stretch>
          <a:fillRect/>
        </a:stretch>
      </xdr:blipFill>
      <xdr:spPr>
        <a:xfrm>
          <a:off x="2565399" y="74612499"/>
          <a:ext cx="914400" cy="914400"/>
        </a:xfrm>
        <a:prstGeom prst="rect">
          <a:avLst/>
        </a:prstGeom>
      </xdr:spPr>
    </xdr:pic>
    <xdr:clientData/>
  </xdr:twoCellAnchor>
  <xdr:twoCellAnchor editAs="oneCell">
    <xdr:from>
      <xdr:col>2</xdr:col>
      <xdr:colOff>152399</xdr:colOff>
      <xdr:row>30</xdr:row>
      <xdr:rowOff>1219199</xdr:rowOff>
    </xdr:from>
    <xdr:to>
      <xdr:col>2</xdr:col>
      <xdr:colOff>1066799</xdr:colOff>
      <xdr:row>30</xdr:row>
      <xdr:rowOff>2133599</xdr:rowOff>
    </xdr:to>
    <xdr:pic>
      <xdr:nvPicPr>
        <xdr:cNvPr id="159" name="Picture 158"/>
        <xdr:cNvPicPr>
          <a:picLocks noChangeAspect="1"/>
        </xdr:cNvPicPr>
      </xdr:nvPicPr>
      <xdr:blipFill>
        <a:blip xmlns:r="http://schemas.openxmlformats.org/officeDocument/2006/relationships" r:embed="rId75">
          <a:extLst>
            <a:ext uri="{28A0092B-C50C-407E-A947-70E740481C1C}">
              <a14:useLocalDpi xmlns:a14="http://schemas.microsoft.com/office/drawing/2010/main" val="0"/>
            </a:ext>
          </a:extLst>
        </a:blip>
        <a:stretch>
          <a:fillRect/>
        </a:stretch>
      </xdr:blipFill>
      <xdr:spPr>
        <a:xfrm>
          <a:off x="2565399" y="70383399"/>
          <a:ext cx="914400" cy="914400"/>
        </a:xfrm>
        <a:prstGeom prst="rect">
          <a:avLst/>
        </a:prstGeom>
      </xdr:spPr>
    </xdr:pic>
    <xdr:clientData/>
  </xdr:twoCellAnchor>
  <xdr:twoCellAnchor editAs="oneCell">
    <xdr:from>
      <xdr:col>2</xdr:col>
      <xdr:colOff>152399</xdr:colOff>
      <xdr:row>28</xdr:row>
      <xdr:rowOff>457199</xdr:rowOff>
    </xdr:from>
    <xdr:to>
      <xdr:col>2</xdr:col>
      <xdr:colOff>1066799</xdr:colOff>
      <xdr:row>28</xdr:row>
      <xdr:rowOff>1371599</xdr:rowOff>
    </xdr:to>
    <xdr:pic>
      <xdr:nvPicPr>
        <xdr:cNvPr id="160" name="Picture 159"/>
        <xdr:cNvPicPr>
          <a:picLocks noChangeAspect="1"/>
        </xdr:cNvPicPr>
      </xdr:nvPicPr>
      <xdr:blipFill>
        <a:blip xmlns:r="http://schemas.openxmlformats.org/officeDocument/2006/relationships" r:embed="rId76">
          <a:extLst>
            <a:ext uri="{28A0092B-C50C-407E-A947-70E740481C1C}">
              <a14:useLocalDpi xmlns:a14="http://schemas.microsoft.com/office/drawing/2010/main" val="0"/>
            </a:ext>
          </a:extLst>
        </a:blip>
        <a:stretch>
          <a:fillRect/>
        </a:stretch>
      </xdr:blipFill>
      <xdr:spPr>
        <a:xfrm>
          <a:off x="2565399" y="65722499"/>
          <a:ext cx="914400" cy="914400"/>
        </a:xfrm>
        <a:prstGeom prst="rect">
          <a:avLst/>
        </a:prstGeom>
      </xdr:spPr>
    </xdr:pic>
    <xdr:clientData/>
  </xdr:twoCellAnchor>
  <xdr:twoCellAnchor editAs="oneCell">
    <xdr:from>
      <xdr:col>2</xdr:col>
      <xdr:colOff>152399</xdr:colOff>
      <xdr:row>27</xdr:row>
      <xdr:rowOff>774699</xdr:rowOff>
    </xdr:from>
    <xdr:to>
      <xdr:col>2</xdr:col>
      <xdr:colOff>1066799</xdr:colOff>
      <xdr:row>27</xdr:row>
      <xdr:rowOff>1689099</xdr:rowOff>
    </xdr:to>
    <xdr:pic>
      <xdr:nvPicPr>
        <xdr:cNvPr id="161" name="Picture 160"/>
        <xdr:cNvPicPr>
          <a:picLocks noChangeAspect="1"/>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2565399" y="63652399"/>
          <a:ext cx="914400" cy="914400"/>
        </a:xfrm>
        <a:prstGeom prst="rect">
          <a:avLst/>
        </a:prstGeom>
      </xdr:spPr>
    </xdr:pic>
    <xdr:clientData/>
  </xdr:twoCellAnchor>
  <xdr:twoCellAnchor editAs="oneCell">
    <xdr:from>
      <xdr:col>2</xdr:col>
      <xdr:colOff>152399</xdr:colOff>
      <xdr:row>29</xdr:row>
      <xdr:rowOff>634999</xdr:rowOff>
    </xdr:from>
    <xdr:to>
      <xdr:col>2</xdr:col>
      <xdr:colOff>1066799</xdr:colOff>
      <xdr:row>29</xdr:row>
      <xdr:rowOff>1549399</xdr:rowOff>
    </xdr:to>
    <xdr:pic>
      <xdr:nvPicPr>
        <xdr:cNvPr id="171" name="Picture 170"/>
        <xdr:cNvPicPr>
          <a:picLocks noChangeAspect="1"/>
        </xdr:cNvPicPr>
      </xdr:nvPicPr>
      <xdr:blipFill>
        <a:blip xmlns:r="http://schemas.openxmlformats.org/officeDocument/2006/relationships" r:embed="rId78">
          <a:extLst>
            <a:ext uri="{28A0092B-C50C-407E-A947-70E740481C1C}">
              <a14:useLocalDpi xmlns:a14="http://schemas.microsoft.com/office/drawing/2010/main" val="0"/>
            </a:ext>
          </a:extLst>
        </a:blip>
        <a:stretch>
          <a:fillRect/>
        </a:stretch>
      </xdr:blipFill>
      <xdr:spPr>
        <a:xfrm>
          <a:off x="2565399" y="67703699"/>
          <a:ext cx="914400" cy="914400"/>
        </a:xfrm>
        <a:prstGeom prst="rect">
          <a:avLst/>
        </a:prstGeom>
      </xdr:spPr>
    </xdr:pic>
    <xdr:clientData/>
  </xdr:twoCellAnchor>
  <xdr:twoCellAnchor editAs="oneCell">
    <xdr:from>
      <xdr:col>2</xdr:col>
      <xdr:colOff>152399</xdr:colOff>
      <xdr:row>26</xdr:row>
      <xdr:rowOff>1476374</xdr:rowOff>
    </xdr:from>
    <xdr:to>
      <xdr:col>2</xdr:col>
      <xdr:colOff>1066799</xdr:colOff>
      <xdr:row>26</xdr:row>
      <xdr:rowOff>2400299</xdr:rowOff>
    </xdr:to>
    <xdr:pic>
      <xdr:nvPicPr>
        <xdr:cNvPr id="218" name="Picture 217"/>
        <xdr:cNvPicPr>
          <a:picLocks noChangeAspect="1"/>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2565399" y="60582174"/>
          <a:ext cx="914400" cy="923925"/>
        </a:xfrm>
        <a:prstGeom prst="rect">
          <a:avLst/>
        </a:prstGeom>
      </xdr:spPr>
    </xdr:pic>
    <xdr:clientData/>
  </xdr:twoCellAnchor>
  <xdr:twoCellAnchor editAs="oneCell">
    <xdr:from>
      <xdr:col>2</xdr:col>
      <xdr:colOff>152399</xdr:colOff>
      <xdr:row>25</xdr:row>
      <xdr:rowOff>638174</xdr:rowOff>
    </xdr:from>
    <xdr:to>
      <xdr:col>2</xdr:col>
      <xdr:colOff>1066799</xdr:colOff>
      <xdr:row>25</xdr:row>
      <xdr:rowOff>1562099</xdr:rowOff>
    </xdr:to>
    <xdr:pic>
      <xdr:nvPicPr>
        <xdr:cNvPr id="219" name="Picture 218"/>
        <xdr:cNvPicPr>
          <a:picLocks noChangeAspect="1"/>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2565399" y="57546874"/>
          <a:ext cx="914400" cy="923925"/>
        </a:xfrm>
        <a:prstGeom prst="rect">
          <a:avLst/>
        </a:prstGeom>
      </xdr:spPr>
    </xdr:pic>
    <xdr:clientData/>
  </xdr:twoCellAnchor>
  <xdr:twoCellAnchor editAs="oneCell">
    <xdr:from>
      <xdr:col>2</xdr:col>
      <xdr:colOff>165099</xdr:colOff>
      <xdr:row>24</xdr:row>
      <xdr:rowOff>676274</xdr:rowOff>
    </xdr:from>
    <xdr:to>
      <xdr:col>2</xdr:col>
      <xdr:colOff>1079499</xdr:colOff>
      <xdr:row>24</xdr:row>
      <xdr:rowOff>1600199</xdr:rowOff>
    </xdr:to>
    <xdr:pic>
      <xdr:nvPicPr>
        <xdr:cNvPr id="220" name="Picture 219"/>
        <xdr:cNvPicPr>
          <a:picLocks noChangeAspect="1"/>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2578099" y="55387874"/>
          <a:ext cx="914400" cy="923925"/>
        </a:xfrm>
        <a:prstGeom prst="rect">
          <a:avLst/>
        </a:prstGeom>
      </xdr:spPr>
    </xdr:pic>
    <xdr:clientData/>
  </xdr:twoCellAnchor>
  <xdr:twoCellAnchor editAs="oneCell">
    <xdr:from>
      <xdr:col>2</xdr:col>
      <xdr:colOff>152399</xdr:colOff>
      <xdr:row>20</xdr:row>
      <xdr:rowOff>1663699</xdr:rowOff>
    </xdr:from>
    <xdr:to>
      <xdr:col>2</xdr:col>
      <xdr:colOff>1066799</xdr:colOff>
      <xdr:row>20</xdr:row>
      <xdr:rowOff>2578099</xdr:rowOff>
    </xdr:to>
    <xdr:pic>
      <xdr:nvPicPr>
        <xdr:cNvPr id="221" name="Picture 220"/>
        <xdr:cNvPicPr>
          <a:picLocks noChangeAspect="1"/>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2565399" y="48666399"/>
          <a:ext cx="914400" cy="914400"/>
        </a:xfrm>
        <a:prstGeom prst="rect">
          <a:avLst/>
        </a:prstGeom>
      </xdr:spPr>
    </xdr:pic>
    <xdr:clientData/>
  </xdr:twoCellAnchor>
  <xdr:twoCellAnchor editAs="oneCell">
    <xdr:from>
      <xdr:col>2</xdr:col>
      <xdr:colOff>152399</xdr:colOff>
      <xdr:row>22</xdr:row>
      <xdr:rowOff>1384299</xdr:rowOff>
    </xdr:from>
    <xdr:to>
      <xdr:col>2</xdr:col>
      <xdr:colOff>1066799</xdr:colOff>
      <xdr:row>22</xdr:row>
      <xdr:rowOff>2298699</xdr:rowOff>
    </xdr:to>
    <xdr:pic>
      <xdr:nvPicPr>
        <xdr:cNvPr id="222" name="Picture 221"/>
        <xdr:cNvPicPr>
          <a:picLocks noChangeAspect="1"/>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2565399" y="52489099"/>
          <a:ext cx="914400" cy="914400"/>
        </a:xfrm>
        <a:prstGeom prst="rect">
          <a:avLst/>
        </a:prstGeom>
      </xdr:spPr>
    </xdr:pic>
    <xdr:clientData/>
  </xdr:twoCellAnchor>
  <xdr:twoCellAnchor editAs="oneCell">
    <xdr:from>
      <xdr:col>2</xdr:col>
      <xdr:colOff>139699</xdr:colOff>
      <xdr:row>19</xdr:row>
      <xdr:rowOff>812799</xdr:rowOff>
    </xdr:from>
    <xdr:to>
      <xdr:col>2</xdr:col>
      <xdr:colOff>1054099</xdr:colOff>
      <xdr:row>19</xdr:row>
      <xdr:rowOff>1727199</xdr:rowOff>
    </xdr:to>
    <xdr:pic>
      <xdr:nvPicPr>
        <xdr:cNvPr id="223" name="Picture 222"/>
        <xdr:cNvPicPr>
          <a:picLocks noChangeAspect="1"/>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2552699" y="45415199"/>
          <a:ext cx="914400" cy="914400"/>
        </a:xfrm>
        <a:prstGeom prst="rect">
          <a:avLst/>
        </a:prstGeom>
      </xdr:spPr>
    </xdr:pic>
    <xdr:clientData/>
  </xdr:twoCellAnchor>
  <xdr:twoCellAnchor editAs="oneCell">
    <xdr:from>
      <xdr:col>2</xdr:col>
      <xdr:colOff>152399</xdr:colOff>
      <xdr:row>18</xdr:row>
      <xdr:rowOff>1473199</xdr:rowOff>
    </xdr:from>
    <xdr:to>
      <xdr:col>2</xdr:col>
      <xdr:colOff>1066799</xdr:colOff>
      <xdr:row>18</xdr:row>
      <xdr:rowOff>2387599</xdr:rowOff>
    </xdr:to>
    <xdr:pic>
      <xdr:nvPicPr>
        <xdr:cNvPr id="224" name="Picture 223"/>
        <xdr:cNvPicPr>
          <a:picLocks noChangeAspect="1"/>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2565399" y="42354499"/>
          <a:ext cx="914400" cy="914400"/>
        </a:xfrm>
        <a:prstGeom prst="rect">
          <a:avLst/>
        </a:prstGeom>
      </xdr:spPr>
    </xdr:pic>
    <xdr:clientData/>
  </xdr:twoCellAnchor>
  <xdr:twoCellAnchor editAs="oneCell">
    <xdr:from>
      <xdr:col>2</xdr:col>
      <xdr:colOff>152399</xdr:colOff>
      <xdr:row>17</xdr:row>
      <xdr:rowOff>1790699</xdr:rowOff>
    </xdr:from>
    <xdr:to>
      <xdr:col>2</xdr:col>
      <xdr:colOff>1066799</xdr:colOff>
      <xdr:row>17</xdr:row>
      <xdr:rowOff>2705099</xdr:rowOff>
    </xdr:to>
    <xdr:pic>
      <xdr:nvPicPr>
        <xdr:cNvPr id="225" name="Picture 224"/>
        <xdr:cNvPicPr>
          <a:picLocks noChangeAspect="1"/>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2565399" y="38290499"/>
          <a:ext cx="914400" cy="914400"/>
        </a:xfrm>
        <a:prstGeom prst="rect">
          <a:avLst/>
        </a:prstGeom>
      </xdr:spPr>
    </xdr:pic>
    <xdr:clientData/>
  </xdr:twoCellAnchor>
  <xdr:twoCellAnchor editAs="oneCell">
    <xdr:from>
      <xdr:col>2</xdr:col>
      <xdr:colOff>152400</xdr:colOff>
      <xdr:row>16</xdr:row>
      <xdr:rowOff>1778000</xdr:rowOff>
    </xdr:from>
    <xdr:to>
      <xdr:col>2</xdr:col>
      <xdr:colOff>1066800</xdr:colOff>
      <xdr:row>16</xdr:row>
      <xdr:rowOff>2692400</xdr:rowOff>
    </xdr:to>
    <xdr:pic>
      <xdr:nvPicPr>
        <xdr:cNvPr id="226" name="Picture 225"/>
        <xdr:cNvPicPr>
          <a:picLocks noChangeAspect="1"/>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2565400" y="33870900"/>
          <a:ext cx="914400" cy="914400"/>
        </a:xfrm>
        <a:prstGeom prst="rect">
          <a:avLst/>
        </a:prstGeom>
      </xdr:spPr>
    </xdr:pic>
    <xdr:clientData/>
  </xdr:twoCellAnchor>
  <xdr:twoCellAnchor editAs="oneCell">
    <xdr:from>
      <xdr:col>2</xdr:col>
      <xdr:colOff>152399</xdr:colOff>
      <xdr:row>9</xdr:row>
      <xdr:rowOff>1295399</xdr:rowOff>
    </xdr:from>
    <xdr:to>
      <xdr:col>2</xdr:col>
      <xdr:colOff>1066799</xdr:colOff>
      <xdr:row>9</xdr:row>
      <xdr:rowOff>2209799</xdr:rowOff>
    </xdr:to>
    <xdr:pic>
      <xdr:nvPicPr>
        <xdr:cNvPr id="229" name="Picture 228"/>
        <xdr:cNvPicPr>
          <a:picLocks noChangeAspect="1"/>
        </xdr:cNvPicPr>
      </xdr:nvPicPr>
      <xdr:blipFill>
        <a:blip xmlns:r="http://schemas.openxmlformats.org/officeDocument/2006/relationships" r:embed="rId84">
          <a:extLst>
            <a:ext uri="{28A0092B-C50C-407E-A947-70E740481C1C}">
              <a14:useLocalDpi xmlns:a14="http://schemas.microsoft.com/office/drawing/2010/main" val="0"/>
            </a:ext>
          </a:extLst>
        </a:blip>
        <a:stretch>
          <a:fillRect/>
        </a:stretch>
      </xdr:blipFill>
      <xdr:spPr>
        <a:xfrm>
          <a:off x="2565399" y="13627099"/>
          <a:ext cx="914400" cy="914400"/>
        </a:xfrm>
        <a:prstGeom prst="rect">
          <a:avLst/>
        </a:prstGeom>
      </xdr:spPr>
    </xdr:pic>
    <xdr:clientData/>
  </xdr:twoCellAnchor>
  <xdr:twoCellAnchor editAs="oneCell">
    <xdr:from>
      <xdr:col>2</xdr:col>
      <xdr:colOff>152399</xdr:colOff>
      <xdr:row>10</xdr:row>
      <xdr:rowOff>749299</xdr:rowOff>
    </xdr:from>
    <xdr:to>
      <xdr:col>2</xdr:col>
      <xdr:colOff>1066799</xdr:colOff>
      <xdr:row>10</xdr:row>
      <xdr:rowOff>1663699</xdr:rowOff>
    </xdr:to>
    <xdr:pic>
      <xdr:nvPicPr>
        <xdr:cNvPr id="231" name="Picture 230"/>
        <xdr:cNvPicPr>
          <a:picLocks noChangeAspect="1"/>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2565399" y="16484599"/>
          <a:ext cx="914400" cy="914400"/>
        </a:xfrm>
        <a:prstGeom prst="rect">
          <a:avLst/>
        </a:prstGeom>
      </xdr:spPr>
    </xdr:pic>
    <xdr:clientData/>
  </xdr:twoCellAnchor>
  <xdr:twoCellAnchor editAs="oneCell">
    <xdr:from>
      <xdr:col>2</xdr:col>
      <xdr:colOff>139699</xdr:colOff>
      <xdr:row>15</xdr:row>
      <xdr:rowOff>955674</xdr:rowOff>
    </xdr:from>
    <xdr:to>
      <xdr:col>2</xdr:col>
      <xdr:colOff>1076959</xdr:colOff>
      <xdr:row>15</xdr:row>
      <xdr:rowOff>1879599</xdr:rowOff>
    </xdr:to>
    <xdr:pic>
      <xdr:nvPicPr>
        <xdr:cNvPr id="232" name="Picture 231"/>
        <xdr:cNvPicPr>
          <a:picLocks noChangeAspect="1"/>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2552699" y="30305374"/>
          <a:ext cx="937260" cy="923925"/>
        </a:xfrm>
        <a:prstGeom prst="rect">
          <a:avLst/>
        </a:prstGeom>
      </xdr:spPr>
    </xdr:pic>
    <xdr:clientData/>
  </xdr:twoCellAnchor>
  <xdr:twoCellAnchor editAs="oneCell">
    <xdr:from>
      <xdr:col>2</xdr:col>
      <xdr:colOff>152399</xdr:colOff>
      <xdr:row>14</xdr:row>
      <xdr:rowOff>1019174</xdr:rowOff>
    </xdr:from>
    <xdr:to>
      <xdr:col>2</xdr:col>
      <xdr:colOff>1066799</xdr:colOff>
      <xdr:row>14</xdr:row>
      <xdr:rowOff>1943099</xdr:rowOff>
    </xdr:to>
    <xdr:pic>
      <xdr:nvPicPr>
        <xdr:cNvPr id="233" name="Picture 232"/>
        <xdr:cNvPicPr>
          <a:picLocks noChangeAspect="1"/>
        </xdr:cNvPicPr>
      </xdr:nvPicPr>
      <xdr:blipFill>
        <a:blip xmlns:r="http://schemas.openxmlformats.org/officeDocument/2006/relationships" r:embed="rId87">
          <a:extLst>
            <a:ext uri="{28A0092B-C50C-407E-A947-70E740481C1C}">
              <a14:useLocalDpi xmlns:a14="http://schemas.microsoft.com/office/drawing/2010/main" val="0"/>
            </a:ext>
          </a:extLst>
        </a:blip>
        <a:stretch>
          <a:fillRect/>
        </a:stretch>
      </xdr:blipFill>
      <xdr:spPr>
        <a:xfrm>
          <a:off x="2565399" y="27447874"/>
          <a:ext cx="914400" cy="923925"/>
        </a:xfrm>
        <a:prstGeom prst="rect">
          <a:avLst/>
        </a:prstGeom>
      </xdr:spPr>
    </xdr:pic>
    <xdr:clientData/>
  </xdr:twoCellAnchor>
  <xdr:twoCellAnchor editAs="oneCell">
    <xdr:from>
      <xdr:col>2</xdr:col>
      <xdr:colOff>152399</xdr:colOff>
      <xdr:row>11</xdr:row>
      <xdr:rowOff>968374</xdr:rowOff>
    </xdr:from>
    <xdr:to>
      <xdr:col>2</xdr:col>
      <xdr:colOff>1066799</xdr:colOff>
      <xdr:row>11</xdr:row>
      <xdr:rowOff>1892299</xdr:rowOff>
    </xdr:to>
    <xdr:pic>
      <xdr:nvPicPr>
        <xdr:cNvPr id="234" name="Picture 233"/>
        <xdr:cNvPicPr>
          <a:picLocks noChangeAspect="1"/>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2565399" y="18976974"/>
          <a:ext cx="914400" cy="923925"/>
        </a:xfrm>
        <a:prstGeom prst="rect">
          <a:avLst/>
        </a:prstGeom>
      </xdr:spPr>
    </xdr:pic>
    <xdr:clientData/>
  </xdr:twoCellAnchor>
  <xdr:twoCellAnchor editAs="oneCell">
    <xdr:from>
      <xdr:col>2</xdr:col>
      <xdr:colOff>152399</xdr:colOff>
      <xdr:row>8</xdr:row>
      <xdr:rowOff>1206499</xdr:rowOff>
    </xdr:from>
    <xdr:to>
      <xdr:col>2</xdr:col>
      <xdr:colOff>1066799</xdr:colOff>
      <xdr:row>8</xdr:row>
      <xdr:rowOff>2120899</xdr:rowOff>
    </xdr:to>
    <xdr:pic>
      <xdr:nvPicPr>
        <xdr:cNvPr id="235" name="Picture 234"/>
        <xdr:cNvPicPr>
          <a:picLocks noChangeAspect="1"/>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2565399" y="10299699"/>
          <a:ext cx="914400" cy="914400"/>
        </a:xfrm>
        <a:prstGeom prst="rect">
          <a:avLst/>
        </a:prstGeom>
      </xdr:spPr>
    </xdr:pic>
    <xdr:clientData/>
  </xdr:twoCellAnchor>
  <xdr:twoCellAnchor editAs="oneCell">
    <xdr:from>
      <xdr:col>2</xdr:col>
      <xdr:colOff>152399</xdr:colOff>
      <xdr:row>6</xdr:row>
      <xdr:rowOff>1828799</xdr:rowOff>
    </xdr:from>
    <xdr:to>
      <xdr:col>2</xdr:col>
      <xdr:colOff>1066799</xdr:colOff>
      <xdr:row>6</xdr:row>
      <xdr:rowOff>2743199</xdr:rowOff>
    </xdr:to>
    <xdr:pic>
      <xdr:nvPicPr>
        <xdr:cNvPr id="236" name="Picture 235"/>
        <xdr:cNvPicPr>
          <a:picLocks noChangeAspect="1"/>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2565399" y="3695699"/>
          <a:ext cx="914400" cy="914400"/>
        </a:xfrm>
        <a:prstGeom prst="rect">
          <a:avLst/>
        </a:prstGeom>
      </xdr:spPr>
    </xdr:pic>
    <xdr:clientData/>
  </xdr:twoCellAnchor>
  <xdr:twoCellAnchor editAs="oneCell">
    <xdr:from>
      <xdr:col>2</xdr:col>
      <xdr:colOff>152399</xdr:colOff>
      <xdr:row>7</xdr:row>
      <xdr:rowOff>977899</xdr:rowOff>
    </xdr:from>
    <xdr:to>
      <xdr:col>2</xdr:col>
      <xdr:colOff>1066799</xdr:colOff>
      <xdr:row>7</xdr:row>
      <xdr:rowOff>1892299</xdr:rowOff>
    </xdr:to>
    <xdr:pic>
      <xdr:nvPicPr>
        <xdr:cNvPr id="237" name="Picture 236"/>
        <xdr:cNvPicPr>
          <a:picLocks noChangeAspect="1"/>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2565399" y="7378699"/>
          <a:ext cx="914400" cy="914400"/>
        </a:xfrm>
        <a:prstGeom prst="rect">
          <a:avLst/>
        </a:prstGeom>
      </xdr:spPr>
    </xdr:pic>
    <xdr:clientData/>
  </xdr:twoCellAnchor>
  <xdr:twoCellAnchor editAs="oneCell">
    <xdr:from>
      <xdr:col>2</xdr:col>
      <xdr:colOff>139699</xdr:colOff>
      <xdr:row>13</xdr:row>
      <xdr:rowOff>952499</xdr:rowOff>
    </xdr:from>
    <xdr:to>
      <xdr:col>2</xdr:col>
      <xdr:colOff>1076959</xdr:colOff>
      <xdr:row>13</xdr:row>
      <xdr:rowOff>1866899</xdr:rowOff>
    </xdr:to>
    <xdr:pic>
      <xdr:nvPicPr>
        <xdr:cNvPr id="238" name="Picture 237"/>
        <xdr:cNvPicPr>
          <a:picLocks noChangeAspect="1"/>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2552699" y="24574499"/>
          <a:ext cx="937260" cy="914400"/>
        </a:xfrm>
        <a:prstGeom prst="rect">
          <a:avLst/>
        </a:prstGeom>
      </xdr:spPr>
    </xdr:pic>
    <xdr:clientData/>
  </xdr:twoCellAnchor>
  <xdr:twoCellAnchor editAs="oneCell">
    <xdr:from>
      <xdr:col>2</xdr:col>
      <xdr:colOff>139699</xdr:colOff>
      <xdr:row>12</xdr:row>
      <xdr:rowOff>977899</xdr:rowOff>
    </xdr:from>
    <xdr:to>
      <xdr:col>2</xdr:col>
      <xdr:colOff>1076959</xdr:colOff>
      <xdr:row>12</xdr:row>
      <xdr:rowOff>1892299</xdr:rowOff>
    </xdr:to>
    <xdr:pic>
      <xdr:nvPicPr>
        <xdr:cNvPr id="239" name="Picture 238"/>
        <xdr:cNvPicPr>
          <a:picLocks noChangeAspect="1"/>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2552699" y="21793199"/>
          <a:ext cx="937260" cy="914400"/>
        </a:xfrm>
        <a:prstGeom prst="rect">
          <a:avLst/>
        </a:prstGeom>
      </xdr:spPr>
    </xdr:pic>
    <xdr:clientData/>
  </xdr:twoCellAnchor>
  <xdr:twoCellAnchor editAs="oneCell">
    <xdr:from>
      <xdr:col>2</xdr:col>
      <xdr:colOff>152399</xdr:colOff>
      <xdr:row>46</xdr:row>
      <xdr:rowOff>673099</xdr:rowOff>
    </xdr:from>
    <xdr:to>
      <xdr:col>2</xdr:col>
      <xdr:colOff>1066799</xdr:colOff>
      <xdr:row>46</xdr:row>
      <xdr:rowOff>1587499</xdr:rowOff>
    </xdr:to>
    <xdr:pic>
      <xdr:nvPicPr>
        <xdr:cNvPr id="240" name="Picture 239"/>
        <xdr:cNvPicPr>
          <a:picLocks noChangeAspect="1"/>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2565399" y="122707399"/>
          <a:ext cx="914400" cy="914400"/>
        </a:xfrm>
        <a:prstGeom prst="rect">
          <a:avLst/>
        </a:prstGeom>
      </xdr:spPr>
    </xdr:pic>
    <xdr:clientData/>
  </xdr:twoCellAnchor>
  <xdr:twoCellAnchor editAs="oneCell">
    <xdr:from>
      <xdr:col>2</xdr:col>
      <xdr:colOff>152399</xdr:colOff>
      <xdr:row>36</xdr:row>
      <xdr:rowOff>736599</xdr:rowOff>
    </xdr:from>
    <xdr:to>
      <xdr:col>2</xdr:col>
      <xdr:colOff>1066799</xdr:colOff>
      <xdr:row>36</xdr:row>
      <xdr:rowOff>1650999</xdr:rowOff>
    </xdr:to>
    <xdr:pic>
      <xdr:nvPicPr>
        <xdr:cNvPr id="241" name="Picture 240"/>
        <xdr:cNvPicPr>
          <a:picLocks noChangeAspect="1"/>
        </xdr:cNvPicPr>
      </xdr:nvPicPr>
      <xdr:blipFill>
        <a:blip xmlns:r="http://schemas.openxmlformats.org/officeDocument/2006/relationships" r:embed="rId90">
          <a:extLst>
            <a:ext uri="{28A0092B-C50C-407E-A947-70E740481C1C}">
              <a14:useLocalDpi xmlns:a14="http://schemas.microsoft.com/office/drawing/2010/main" val="0"/>
            </a:ext>
          </a:extLst>
        </a:blip>
        <a:stretch>
          <a:fillRect/>
        </a:stretch>
      </xdr:blipFill>
      <xdr:spPr>
        <a:xfrm>
          <a:off x="2565399" y="92252799"/>
          <a:ext cx="914400" cy="914400"/>
        </a:xfrm>
        <a:prstGeom prst="rect">
          <a:avLst/>
        </a:prstGeom>
      </xdr:spPr>
    </xdr:pic>
    <xdr:clientData/>
  </xdr:twoCellAnchor>
  <xdr:twoCellAnchor>
    <xdr:from>
      <xdr:col>118</xdr:col>
      <xdr:colOff>149225</xdr:colOff>
      <xdr:row>23</xdr:row>
      <xdr:rowOff>911225</xdr:rowOff>
    </xdr:from>
    <xdr:to>
      <xdr:col>118</xdr:col>
      <xdr:colOff>11782425</xdr:colOff>
      <xdr:row>23</xdr:row>
      <xdr:rowOff>1152525</xdr:rowOff>
    </xdr:to>
    <xdr:sp macro="" textlink="">
      <xdr:nvSpPr>
        <xdr:cNvPr id="210" name="TextBox 209">
          <a:hlinkClick xmlns:r="http://schemas.openxmlformats.org/officeDocument/2006/relationships" r:id="rId19"/>
        </xdr:cNvPr>
        <xdr:cNvSpPr txBox="1"/>
      </xdr:nvSpPr>
      <xdr:spPr>
        <a:xfrm>
          <a:off x="117878225" y="520160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http://ciceet.unh.edu/news/releases/spring08_progress_reports/pdf/vallino.pdf</a:t>
          </a:r>
        </a:p>
      </xdr:txBody>
    </xdr:sp>
    <xdr:clientData/>
  </xdr:twoCellAnchor>
  <xdr:twoCellAnchor>
    <xdr:from>
      <xdr:col>118</xdr:col>
      <xdr:colOff>174625</xdr:colOff>
      <xdr:row>23</xdr:row>
      <xdr:rowOff>571500</xdr:rowOff>
    </xdr:from>
    <xdr:to>
      <xdr:col>118</xdr:col>
      <xdr:colOff>11807825</xdr:colOff>
      <xdr:row>23</xdr:row>
      <xdr:rowOff>812800</xdr:rowOff>
    </xdr:to>
    <xdr:sp macro="" textlink="">
      <xdr:nvSpPr>
        <xdr:cNvPr id="227" name="TextBox 226">
          <a:hlinkClick xmlns:r="http://schemas.openxmlformats.org/officeDocument/2006/relationships" r:id="rId39"/>
        </xdr:cNvPr>
        <xdr:cNvSpPr txBox="1"/>
      </xdr:nvSpPr>
      <xdr:spPr>
        <a:xfrm>
          <a:off x="117903625" y="516763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http://link.springer.com/article/10.1007/s11252-012-0266-z</a:t>
          </a:r>
        </a:p>
      </xdr:txBody>
    </xdr:sp>
    <xdr:clientData/>
  </xdr:twoCellAnchor>
  <xdr:twoCellAnchor>
    <xdr:from>
      <xdr:col>118</xdr:col>
      <xdr:colOff>142875</xdr:colOff>
      <xdr:row>23</xdr:row>
      <xdr:rowOff>104775</xdr:rowOff>
    </xdr:from>
    <xdr:to>
      <xdr:col>118</xdr:col>
      <xdr:colOff>11776075</xdr:colOff>
      <xdr:row>23</xdr:row>
      <xdr:rowOff>346075</xdr:rowOff>
    </xdr:to>
    <xdr:sp macro="" textlink="">
      <xdr:nvSpPr>
        <xdr:cNvPr id="228" name="TextBox 227">
          <a:hlinkClick xmlns:r="http://schemas.openxmlformats.org/officeDocument/2006/relationships" r:id="rId17"/>
        </xdr:cNvPr>
        <xdr:cNvSpPr txBox="1"/>
      </xdr:nvSpPr>
      <xdr:spPr>
        <a:xfrm>
          <a:off x="117871875" y="512095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http://www.clu-in.org/conf/itrc/prbtu/prez/ITRC_PRBUpdate_092012ibtpdf.pdf</a:t>
          </a:r>
        </a:p>
      </xdr:txBody>
    </xdr:sp>
    <xdr:clientData/>
  </xdr:twoCellAnchor>
  <xdr:oneCellAnchor>
    <xdr:from>
      <xdr:col>2</xdr:col>
      <xdr:colOff>152399</xdr:colOff>
      <xdr:row>23</xdr:row>
      <xdr:rowOff>1384299</xdr:rowOff>
    </xdr:from>
    <xdr:ext cx="914400" cy="914400"/>
    <xdr:pic>
      <xdr:nvPicPr>
        <xdr:cNvPr id="230" name="Picture 229"/>
        <xdr:cNvPicPr>
          <a:picLocks noChangeAspect="1"/>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2565399" y="52489099"/>
          <a:ext cx="914400" cy="914400"/>
        </a:xfrm>
        <a:prstGeom prst="rect">
          <a:avLst/>
        </a:prstGeom>
      </xdr:spPr>
    </xdr:pic>
    <xdr:clientData/>
  </xdr:oneCellAnchor>
  <xdr:twoCellAnchor>
    <xdr:from>
      <xdr:col>118</xdr:col>
      <xdr:colOff>149225</xdr:colOff>
      <xdr:row>21</xdr:row>
      <xdr:rowOff>911225</xdr:rowOff>
    </xdr:from>
    <xdr:to>
      <xdr:col>118</xdr:col>
      <xdr:colOff>11782425</xdr:colOff>
      <xdr:row>21</xdr:row>
      <xdr:rowOff>1152525</xdr:rowOff>
    </xdr:to>
    <xdr:sp macro="" textlink="">
      <xdr:nvSpPr>
        <xdr:cNvPr id="242" name="TextBox 241">
          <a:hlinkClick xmlns:r="http://schemas.openxmlformats.org/officeDocument/2006/relationships" r:id="rId19"/>
        </xdr:cNvPr>
        <xdr:cNvSpPr txBox="1"/>
      </xdr:nvSpPr>
      <xdr:spPr>
        <a:xfrm>
          <a:off x="117878225" y="561181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http://ciceet.unh.edu/news/releases/spring08_progress_reports/pdf/vallino.pdf</a:t>
          </a:r>
        </a:p>
      </xdr:txBody>
    </xdr:sp>
    <xdr:clientData/>
  </xdr:twoCellAnchor>
  <xdr:twoCellAnchor>
    <xdr:from>
      <xdr:col>118</xdr:col>
      <xdr:colOff>174625</xdr:colOff>
      <xdr:row>21</xdr:row>
      <xdr:rowOff>571500</xdr:rowOff>
    </xdr:from>
    <xdr:to>
      <xdr:col>118</xdr:col>
      <xdr:colOff>11807825</xdr:colOff>
      <xdr:row>21</xdr:row>
      <xdr:rowOff>812800</xdr:rowOff>
    </xdr:to>
    <xdr:sp macro="" textlink="">
      <xdr:nvSpPr>
        <xdr:cNvPr id="243" name="TextBox 242">
          <a:hlinkClick xmlns:r="http://schemas.openxmlformats.org/officeDocument/2006/relationships" r:id="rId39"/>
        </xdr:cNvPr>
        <xdr:cNvSpPr txBox="1"/>
      </xdr:nvSpPr>
      <xdr:spPr>
        <a:xfrm>
          <a:off x="117903625" y="55778400"/>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http://link.springer.com/article/10.1007/s11252-012-0266-z</a:t>
          </a:r>
        </a:p>
      </xdr:txBody>
    </xdr:sp>
    <xdr:clientData/>
  </xdr:twoCellAnchor>
  <xdr:twoCellAnchor>
    <xdr:from>
      <xdr:col>118</xdr:col>
      <xdr:colOff>142875</xdr:colOff>
      <xdr:row>21</xdr:row>
      <xdr:rowOff>104775</xdr:rowOff>
    </xdr:from>
    <xdr:to>
      <xdr:col>118</xdr:col>
      <xdr:colOff>11776075</xdr:colOff>
      <xdr:row>21</xdr:row>
      <xdr:rowOff>346075</xdr:rowOff>
    </xdr:to>
    <xdr:sp macro="" textlink="">
      <xdr:nvSpPr>
        <xdr:cNvPr id="244" name="TextBox 243">
          <a:hlinkClick xmlns:r="http://schemas.openxmlformats.org/officeDocument/2006/relationships" r:id="rId17"/>
        </xdr:cNvPr>
        <xdr:cNvSpPr txBox="1"/>
      </xdr:nvSpPr>
      <xdr:spPr>
        <a:xfrm>
          <a:off x="117871875" y="5531167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http://www.clu-in.org/conf/itrc/prbtu/prez/ITRC_PRBUpdate_092012ibtpdf.pdf</a:t>
          </a:r>
        </a:p>
      </xdr:txBody>
    </xdr:sp>
    <xdr:clientData/>
  </xdr:twoCellAnchor>
  <xdr:oneCellAnchor>
    <xdr:from>
      <xdr:col>2</xdr:col>
      <xdr:colOff>152399</xdr:colOff>
      <xdr:row>21</xdr:row>
      <xdr:rowOff>1384299</xdr:rowOff>
    </xdr:from>
    <xdr:ext cx="914400" cy="914400"/>
    <xdr:pic>
      <xdr:nvPicPr>
        <xdr:cNvPr id="245" name="Picture 244"/>
        <xdr:cNvPicPr>
          <a:picLocks noChangeAspect="1"/>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2565399" y="56591199"/>
          <a:ext cx="914400" cy="914400"/>
        </a:xfrm>
        <a:prstGeom prst="rect">
          <a:avLst/>
        </a:prstGeom>
      </xdr:spPr>
    </xdr:pic>
    <xdr:clientData/>
  </xdr:oneCellAnchor>
  <xdr:twoCellAnchor>
    <xdr:from>
      <xdr:col>118</xdr:col>
      <xdr:colOff>111125</xdr:colOff>
      <xdr:row>43</xdr:row>
      <xdr:rowOff>111125</xdr:rowOff>
    </xdr:from>
    <xdr:to>
      <xdr:col>118</xdr:col>
      <xdr:colOff>11744325</xdr:colOff>
      <xdr:row>43</xdr:row>
      <xdr:rowOff>352425</xdr:rowOff>
    </xdr:to>
    <xdr:sp macro="" textlink="">
      <xdr:nvSpPr>
        <xdr:cNvPr id="247" name="TextBox 246">
          <a:hlinkClick xmlns:r="http://schemas.openxmlformats.org/officeDocument/2006/relationships" r:id="rId9"/>
        </xdr:cNvPr>
        <xdr:cNvSpPr txBox="1"/>
      </xdr:nvSpPr>
      <xdr:spPr>
        <a:xfrm>
          <a:off x="136331325" y="127047625"/>
          <a:ext cx="11633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solidFill>
                <a:schemeClr val="accent1"/>
              </a:solidFill>
              <a:uFill>
                <a:solidFill>
                  <a:schemeClr val="accent1"/>
                </a:solidFill>
              </a:uFill>
            </a:rPr>
            <a:t> http://www.ccwpc.org/index.php/component/content/article/36-wastewater-reports/78-comparison-of-costs-for-wastewater-management-systems-applicable-to-cape-cod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noFill/>
        <a:ln w="9525" cmpd="sng">
          <a:no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G180"/>
  <sheetViews>
    <sheetView showGridLines="0" zoomScale="75" zoomScaleNormal="75" workbookViewId="0">
      <pane xSplit="9225" ySplit="2640" topLeftCell="BY1" activePane="bottomRight"/>
      <selection activeCell="B2" sqref="B2"/>
      <selection pane="topRight" activeCell="B4" sqref="B4:B6"/>
      <selection pane="bottomLeft" activeCell="B35" sqref="B35"/>
      <selection pane="bottomRight" activeCell="CB2" activeCellId="4" sqref="A2 P2 AN2 BY2 CB2"/>
    </sheetView>
  </sheetViews>
  <sheetFormatPr defaultRowHeight="12.75" x14ac:dyDescent="0.2"/>
  <cols>
    <col min="1" max="1" width="6.69921875" style="1" customWidth="1"/>
    <col min="2" max="2" width="18.69921875" style="1" customWidth="1"/>
    <col min="3" max="3" width="12.69921875" style="1" customWidth="1"/>
    <col min="4" max="4" width="12.69921875" style="2" customWidth="1"/>
    <col min="5" max="5" width="36.69921875" style="1" customWidth="1"/>
    <col min="6" max="6" width="14.69921875" style="1" customWidth="1"/>
    <col min="7" max="8" width="12.69921875" style="1" customWidth="1"/>
    <col min="9" max="9" width="22.796875" style="26" customWidth="1"/>
    <col min="10" max="10" width="36.69921875" style="1" customWidth="1"/>
    <col min="11" max="11" width="29.59765625" style="2" customWidth="1"/>
    <col min="12" max="12" width="12.69921875" style="1" customWidth="1"/>
    <col min="13" max="13" width="10.09765625" style="55" customWidth="1"/>
    <col min="14" max="15" width="10.69921875" style="2" customWidth="1"/>
    <col min="16" max="16" width="10.09765625" style="138" customWidth="1"/>
    <col min="17" max="22" width="10.69921875" style="135" customWidth="1"/>
    <col min="23" max="24" width="12.69921875" style="136" customWidth="1"/>
    <col min="25" max="26" width="9.69921875" style="135" customWidth="1"/>
    <col min="27" max="29" width="9.69921875" style="137" customWidth="1"/>
    <col min="30" max="33" width="9.69921875" style="135" customWidth="1"/>
    <col min="34" max="36" width="9.69921875" style="1" customWidth="1"/>
    <col min="37" max="39" width="9.69921875" style="130" customWidth="1"/>
    <col min="40" max="41" width="9.69921875" style="136" customWidth="1"/>
    <col min="42" max="50" width="9.69921875" style="130" customWidth="1"/>
    <col min="51" max="51" width="9.69921875" style="136" customWidth="1"/>
    <col min="52" max="53" width="9.69921875" style="134" customWidth="1"/>
    <col min="54" max="54" width="24.69921875" style="1" customWidth="1"/>
    <col min="55" max="60" width="9.69921875" style="130" customWidth="1"/>
    <col min="61" max="64" width="10.69921875" style="139" customWidth="1"/>
    <col min="65" max="74" width="10.69921875" style="130" customWidth="1"/>
    <col min="75" max="86" width="11.69921875" style="130" customWidth="1"/>
    <col min="87" max="90" width="14.69921875" style="130" customWidth="1"/>
    <col min="91" max="102" width="11.69921875" style="130" customWidth="1"/>
    <col min="103" max="103" width="18" style="140" customWidth="1"/>
    <col min="104" max="104" width="12.69921875" style="140" customWidth="1"/>
    <col min="105" max="107" width="10.69921875" style="140" customWidth="1"/>
    <col min="108" max="109" width="40.69921875" style="1" customWidth="1"/>
    <col min="110" max="113" width="12.69921875" style="2" customWidth="1"/>
    <col min="114" max="114" width="22" style="2" customWidth="1"/>
    <col min="115" max="116" width="12.69921875" style="2" customWidth="1"/>
    <col min="117" max="117" width="19.19921875" style="2" customWidth="1"/>
    <col min="118" max="118" width="12.69921875" style="2" customWidth="1"/>
    <col min="119" max="119" width="142.796875" style="1" customWidth="1"/>
    <col min="120" max="120" width="152.3984375" style="1" customWidth="1"/>
    <col min="121" max="121" width="40.69921875" style="1" customWidth="1"/>
    <col min="122" max="16384" width="8.796875" style="1"/>
  </cols>
  <sheetData>
    <row r="1" spans="1:129" x14ac:dyDescent="0.2">
      <c r="A1" s="7"/>
      <c r="B1" s="295"/>
      <c r="C1" s="295"/>
      <c r="D1" s="240"/>
      <c r="E1" s="28"/>
      <c r="F1" s="16"/>
      <c r="G1" s="16"/>
      <c r="H1" s="16"/>
      <c r="I1" s="28"/>
      <c r="J1" s="28"/>
      <c r="K1" s="16"/>
      <c r="L1" s="16"/>
      <c r="N1" s="8"/>
      <c r="O1" s="8"/>
      <c r="P1" s="49"/>
      <c r="Q1" s="49"/>
      <c r="R1" s="49"/>
      <c r="S1" s="49" t="s">
        <v>58</v>
      </c>
      <c r="T1" s="49"/>
      <c r="U1" s="49"/>
      <c r="V1" s="49"/>
      <c r="W1" s="45"/>
      <c r="X1" s="45"/>
      <c r="Y1" s="49"/>
      <c r="Z1" s="49"/>
      <c r="AA1" s="100"/>
      <c r="AB1" s="100"/>
      <c r="AC1" s="100"/>
      <c r="AD1" s="49"/>
      <c r="AE1" s="49"/>
      <c r="AF1" s="49"/>
      <c r="AG1" s="49"/>
      <c r="AH1" s="16"/>
      <c r="AI1" s="16"/>
      <c r="AJ1" s="16"/>
      <c r="AK1" s="34"/>
      <c r="AL1" s="34"/>
      <c r="AM1" s="34"/>
      <c r="AN1" s="45"/>
      <c r="AO1" s="45"/>
      <c r="AP1" s="34"/>
      <c r="AQ1" s="34"/>
      <c r="AR1" s="34"/>
      <c r="AS1" s="34"/>
      <c r="AT1" s="34"/>
      <c r="AU1" s="34"/>
      <c r="AV1" s="34"/>
      <c r="AW1" s="34"/>
      <c r="AX1" s="34"/>
      <c r="AY1" s="45"/>
      <c r="AZ1" s="45"/>
      <c r="BA1" s="45"/>
      <c r="BB1" s="8"/>
      <c r="BC1" s="34"/>
      <c r="BD1" s="34"/>
      <c r="BE1" s="34"/>
      <c r="BF1" s="34"/>
      <c r="BG1" s="34"/>
      <c r="BH1" s="34"/>
      <c r="BI1" s="61"/>
      <c r="BJ1" s="61"/>
      <c r="BK1" s="61"/>
      <c r="BL1" s="61"/>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60"/>
      <c r="CZ1" s="60"/>
      <c r="DA1" s="60"/>
      <c r="DB1" s="60"/>
      <c r="DC1" s="60"/>
      <c r="DD1" s="28"/>
      <c r="DE1" s="28"/>
      <c r="DF1" s="16"/>
      <c r="DG1" s="16"/>
      <c r="DH1" s="16"/>
      <c r="DI1" s="16"/>
      <c r="DJ1" s="16"/>
      <c r="DK1" s="16"/>
      <c r="DL1" s="16"/>
      <c r="DM1" s="16"/>
      <c r="DN1" s="16"/>
      <c r="DO1" s="28"/>
      <c r="DP1" s="28"/>
      <c r="DQ1" s="28"/>
      <c r="DR1" s="28"/>
      <c r="DS1" s="28"/>
      <c r="DT1" s="28"/>
      <c r="DU1" s="28"/>
      <c r="DV1" s="28"/>
      <c r="DW1" s="28"/>
      <c r="DX1" s="28"/>
      <c r="DY1" s="28"/>
    </row>
    <row r="2" spans="1:129" ht="15" customHeight="1" x14ac:dyDescent="0.2">
      <c r="A2" s="373"/>
      <c r="B2" s="295" t="s">
        <v>562</v>
      </c>
      <c r="C2" s="295"/>
      <c r="D2" s="240"/>
      <c r="E2" s="28"/>
      <c r="F2" s="16"/>
      <c r="G2" s="16"/>
      <c r="H2" s="16"/>
      <c r="I2" s="28"/>
      <c r="J2" s="28"/>
      <c r="K2" s="16"/>
      <c r="L2" s="16"/>
      <c r="M2" s="1"/>
      <c r="N2" s="1"/>
      <c r="O2" s="56" t="s">
        <v>563</v>
      </c>
      <c r="P2" s="372">
        <v>160</v>
      </c>
      <c r="Q2" s="247" t="s">
        <v>575</v>
      </c>
      <c r="R2" s="123"/>
      <c r="S2" s="49"/>
      <c r="T2" s="49"/>
      <c r="U2" s="123"/>
      <c r="V2" s="123"/>
      <c r="W2" s="127"/>
      <c r="X2" s="128"/>
      <c r="Y2" s="129"/>
      <c r="Z2" s="49"/>
      <c r="AA2" s="100"/>
      <c r="AB2" s="100"/>
      <c r="AC2" s="100"/>
      <c r="AD2" s="49"/>
      <c r="AE2" s="49"/>
      <c r="AF2" s="49"/>
      <c r="AG2" s="49"/>
      <c r="AH2" s="16"/>
      <c r="AI2" s="16"/>
      <c r="AJ2" s="16"/>
      <c r="AL2" s="474" t="s">
        <v>59</v>
      </c>
      <c r="AM2" s="475"/>
      <c r="AN2" s="374">
        <v>0.4</v>
      </c>
      <c r="AO2" s="107"/>
      <c r="AQ2" s="131"/>
      <c r="AR2" s="131"/>
      <c r="AS2" s="131"/>
      <c r="AT2" s="131"/>
      <c r="AU2" s="131"/>
      <c r="AV2" s="34"/>
      <c r="AW2" s="34"/>
      <c r="AX2" s="34"/>
      <c r="AY2" s="45"/>
      <c r="AZ2" s="132"/>
      <c r="BA2" s="46"/>
      <c r="BB2" s="9"/>
      <c r="BC2" s="34"/>
      <c r="BD2" s="34"/>
      <c r="BE2" s="34"/>
      <c r="BF2" s="34"/>
      <c r="BG2" s="34"/>
      <c r="BH2" s="34"/>
      <c r="BI2" s="133"/>
      <c r="BJ2" s="133"/>
      <c r="BK2" s="133"/>
      <c r="BL2" s="133"/>
      <c r="BM2" s="34"/>
      <c r="BN2" s="34"/>
      <c r="BO2" s="34"/>
      <c r="BP2" s="34"/>
      <c r="BQ2" s="34"/>
      <c r="BR2" s="34"/>
      <c r="BS2" s="34"/>
      <c r="BT2" s="34"/>
      <c r="BU2" s="34"/>
      <c r="BV2" s="34"/>
      <c r="BX2" s="35" t="s">
        <v>635</v>
      </c>
      <c r="BY2" s="375">
        <v>0.05</v>
      </c>
      <c r="BZ2" s="31" t="s">
        <v>591</v>
      </c>
      <c r="CA2" s="37" t="s">
        <v>15</v>
      </c>
      <c r="CB2" s="376">
        <v>20</v>
      </c>
      <c r="CC2" s="38" t="s">
        <v>590</v>
      </c>
      <c r="CF2" s="38"/>
      <c r="CG2" s="38"/>
      <c r="CH2" s="38"/>
      <c r="CI2" s="38"/>
      <c r="CJ2" s="38"/>
      <c r="CK2" s="38"/>
      <c r="CL2" s="38"/>
      <c r="CM2" s="356"/>
      <c r="CN2" s="37"/>
      <c r="CO2" s="31"/>
      <c r="CP2" s="31"/>
      <c r="CQ2" s="37"/>
      <c r="CR2" s="357"/>
      <c r="CS2" s="355"/>
      <c r="CT2" s="356"/>
      <c r="CV2" s="38"/>
      <c r="CW2" s="38"/>
      <c r="CX2" s="38"/>
      <c r="CY2" s="38"/>
      <c r="CZ2" s="38"/>
      <c r="DA2" s="38"/>
      <c r="DB2" s="38"/>
      <c r="DC2" s="38"/>
      <c r="DD2" s="28"/>
      <c r="DE2" s="28"/>
      <c r="DF2" s="16"/>
      <c r="DG2" s="16"/>
      <c r="DH2" s="16"/>
      <c r="DI2" s="16"/>
      <c r="DJ2" s="16"/>
      <c r="DK2" s="16"/>
      <c r="DL2" s="16"/>
      <c r="DM2" s="16"/>
      <c r="DN2" s="16"/>
      <c r="DO2" s="28"/>
      <c r="DP2" s="28"/>
      <c r="DQ2" s="28"/>
      <c r="DR2" s="28"/>
      <c r="DS2" s="28"/>
      <c r="DT2" s="28"/>
      <c r="DU2" s="28"/>
      <c r="DV2" s="28"/>
      <c r="DW2" s="28"/>
      <c r="DX2" s="28"/>
      <c r="DY2" s="28"/>
    </row>
    <row r="3" spans="1:129" ht="13.5" thickBot="1" x14ac:dyDescent="0.25">
      <c r="A3" s="7"/>
      <c r="B3" s="295"/>
      <c r="C3" s="295"/>
      <c r="D3" s="240"/>
      <c r="E3" s="28"/>
      <c r="F3" s="16"/>
      <c r="G3" s="16"/>
      <c r="H3" s="16"/>
      <c r="I3" s="28"/>
      <c r="J3" s="28"/>
      <c r="K3" s="16"/>
      <c r="L3" s="16"/>
      <c r="N3" s="8"/>
      <c r="O3" s="8"/>
      <c r="P3" s="49"/>
      <c r="Q3" s="49"/>
      <c r="R3" s="49"/>
      <c r="S3" s="49"/>
      <c r="T3" s="49"/>
      <c r="U3" s="49"/>
      <c r="V3" s="49"/>
      <c r="W3" s="45"/>
      <c r="X3" s="45"/>
      <c r="Y3" s="49"/>
      <c r="Z3" s="49"/>
      <c r="AA3" s="100"/>
      <c r="AB3" s="100"/>
      <c r="AC3" s="100"/>
      <c r="AD3" s="49"/>
      <c r="AE3" s="49"/>
      <c r="AF3" s="49"/>
      <c r="AG3" s="49"/>
      <c r="AH3" s="16"/>
      <c r="AI3" s="16"/>
      <c r="AJ3" s="16"/>
      <c r="AK3" s="34"/>
      <c r="AL3" s="34"/>
      <c r="AM3" s="34"/>
      <c r="AN3" s="45"/>
      <c r="AO3" s="45"/>
      <c r="AP3" s="34"/>
      <c r="AQ3" s="34"/>
      <c r="AR3" s="34"/>
      <c r="AS3" s="34"/>
      <c r="AT3" s="34"/>
      <c r="AU3" s="34"/>
      <c r="AV3" s="34"/>
      <c r="AW3" s="34"/>
      <c r="AX3" s="34"/>
      <c r="AY3" s="45"/>
      <c r="AZ3" s="45"/>
      <c r="BA3" s="45"/>
      <c r="BB3" s="8"/>
      <c r="BC3" s="34"/>
      <c r="BD3" s="34"/>
      <c r="BE3" s="34"/>
      <c r="BF3" s="34"/>
      <c r="BG3" s="34"/>
      <c r="BH3" s="34"/>
      <c r="BI3" s="61"/>
      <c r="BJ3" s="61"/>
      <c r="BK3" s="61"/>
      <c r="BL3" s="61"/>
      <c r="BM3" s="34"/>
      <c r="BN3" s="34"/>
      <c r="BO3" s="34"/>
      <c r="BP3" s="34"/>
      <c r="BQ3" s="34"/>
      <c r="BR3" s="34"/>
      <c r="BS3" s="34"/>
      <c r="BT3" s="34"/>
      <c r="BU3" s="34"/>
      <c r="BV3" s="34"/>
      <c r="BW3" s="39"/>
      <c r="BX3" s="40"/>
      <c r="BY3" s="38"/>
      <c r="BZ3" s="38"/>
      <c r="CA3" s="38"/>
      <c r="CB3" s="38"/>
      <c r="CC3" s="34"/>
      <c r="CD3" s="34"/>
      <c r="CE3" s="34"/>
      <c r="CF3" s="34"/>
      <c r="CG3" s="34"/>
      <c r="CH3" s="34"/>
      <c r="CI3" s="34"/>
      <c r="CJ3" s="34"/>
      <c r="CK3" s="34"/>
      <c r="CL3" s="34"/>
      <c r="CM3" s="39"/>
      <c r="CN3" s="40"/>
      <c r="CO3" s="38"/>
      <c r="CP3" s="38"/>
      <c r="CQ3" s="38"/>
      <c r="CR3" s="38"/>
      <c r="CS3" s="34"/>
      <c r="CT3" s="34"/>
      <c r="CU3" s="34"/>
      <c r="CV3" s="34"/>
      <c r="CW3" s="34"/>
      <c r="CX3" s="34"/>
      <c r="CY3" s="60"/>
      <c r="CZ3" s="60"/>
      <c r="DA3" s="60"/>
      <c r="DB3" s="60"/>
      <c r="DC3" s="60"/>
      <c r="DD3" s="28"/>
      <c r="DE3" s="28"/>
      <c r="DF3" s="16"/>
      <c r="DG3" s="16"/>
      <c r="DH3" s="16"/>
      <c r="DI3" s="16"/>
      <c r="DJ3" s="16"/>
      <c r="DK3" s="16"/>
      <c r="DL3" s="16"/>
      <c r="DM3" s="16"/>
      <c r="DN3" s="16"/>
      <c r="DO3" s="28"/>
      <c r="DP3" s="28"/>
      <c r="DQ3" s="28"/>
      <c r="DR3" s="28"/>
      <c r="DS3" s="28"/>
      <c r="DT3" s="28"/>
      <c r="DU3" s="28"/>
      <c r="DV3" s="28"/>
      <c r="DW3" s="28"/>
      <c r="DX3" s="28"/>
      <c r="DY3" s="28"/>
    </row>
    <row r="4" spans="1:129" s="2" customFormat="1" ht="21" customHeight="1" thickTop="1" thickBot="1" x14ac:dyDescent="0.25">
      <c r="A4" s="533"/>
      <c r="B4" s="462" t="s">
        <v>317</v>
      </c>
      <c r="C4" s="476" t="s">
        <v>569</v>
      </c>
      <c r="D4" s="292"/>
      <c r="E4" s="462" t="s">
        <v>60</v>
      </c>
      <c r="F4" s="462" t="s">
        <v>570</v>
      </c>
      <c r="G4" s="462" t="s">
        <v>61</v>
      </c>
      <c r="H4" s="462" t="s">
        <v>572</v>
      </c>
      <c r="I4" s="476" t="s">
        <v>461</v>
      </c>
      <c r="J4" s="462" t="s">
        <v>573</v>
      </c>
      <c r="K4" s="476" t="s">
        <v>636</v>
      </c>
      <c r="L4" s="494" t="s">
        <v>641</v>
      </c>
      <c r="M4" s="443" t="s">
        <v>764</v>
      </c>
      <c r="N4" s="444"/>
      <c r="O4" s="445"/>
      <c r="P4" s="446" t="s">
        <v>576</v>
      </c>
      <c r="Q4" s="496" t="s">
        <v>577</v>
      </c>
      <c r="R4" s="496"/>
      <c r="S4" s="454" t="s">
        <v>578</v>
      </c>
      <c r="T4" s="454"/>
      <c r="U4" s="454"/>
      <c r="V4" s="454"/>
      <c r="W4" s="505" t="s">
        <v>579</v>
      </c>
      <c r="X4" s="501" t="s">
        <v>580</v>
      </c>
      <c r="Y4" s="434" t="s">
        <v>585</v>
      </c>
      <c r="Z4" s="435"/>
      <c r="AA4" s="435"/>
      <c r="AB4" s="435"/>
      <c r="AC4" s="435"/>
      <c r="AD4" s="435"/>
      <c r="AE4" s="435"/>
      <c r="AF4" s="435"/>
      <c r="AG4" s="436"/>
      <c r="AH4" s="499" t="s">
        <v>600</v>
      </c>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601" t="s">
        <v>618</v>
      </c>
      <c r="BJ4" s="602"/>
      <c r="BK4" s="602"/>
      <c r="BL4" s="603"/>
      <c r="BM4" s="437" t="s">
        <v>699</v>
      </c>
      <c r="BN4" s="438"/>
      <c r="BO4" s="438"/>
      <c r="BP4" s="439"/>
      <c r="BQ4" s="591" t="s">
        <v>700</v>
      </c>
      <c r="BR4" s="592"/>
      <c r="BS4" s="592"/>
      <c r="BT4" s="593"/>
      <c r="BU4" s="456" t="s">
        <v>62</v>
      </c>
      <c r="BV4" s="583" t="s">
        <v>418</v>
      </c>
      <c r="BW4" s="429" t="s">
        <v>697</v>
      </c>
      <c r="BX4" s="430"/>
      <c r="BY4" s="430"/>
      <c r="BZ4" s="430"/>
      <c r="CA4" s="430"/>
      <c r="CB4" s="430"/>
      <c r="CC4" s="430"/>
      <c r="CD4" s="430"/>
      <c r="CE4" s="430"/>
      <c r="CF4" s="430"/>
      <c r="CG4" s="430"/>
      <c r="CH4" s="431"/>
      <c r="CI4" s="458" t="s">
        <v>408</v>
      </c>
      <c r="CJ4" s="459"/>
      <c r="CK4" s="458" t="s">
        <v>410</v>
      </c>
      <c r="CL4" s="459"/>
      <c r="CM4" s="451" t="s">
        <v>698</v>
      </c>
      <c r="CN4" s="452"/>
      <c r="CO4" s="452"/>
      <c r="CP4" s="452"/>
      <c r="CQ4" s="452"/>
      <c r="CR4" s="452"/>
      <c r="CS4" s="452"/>
      <c r="CT4" s="452"/>
      <c r="CU4" s="452"/>
      <c r="CV4" s="452"/>
      <c r="CW4" s="452"/>
      <c r="CX4" s="453"/>
      <c r="CY4" s="469" t="s">
        <v>592</v>
      </c>
      <c r="CZ4" s="422" t="s">
        <v>301</v>
      </c>
      <c r="DA4" s="422" t="s">
        <v>338</v>
      </c>
      <c r="DB4" s="422" t="s">
        <v>471</v>
      </c>
      <c r="DC4" s="422" t="s">
        <v>593</v>
      </c>
      <c r="DD4" s="471" t="s">
        <v>63</v>
      </c>
      <c r="DE4" s="471" t="s">
        <v>64</v>
      </c>
      <c r="DF4" s="572" t="s">
        <v>594</v>
      </c>
      <c r="DG4" s="572"/>
      <c r="DH4" s="572"/>
      <c r="DI4" s="572"/>
      <c r="DJ4" s="415" t="s">
        <v>595</v>
      </c>
      <c r="DK4" s="416"/>
      <c r="DL4" s="416"/>
      <c r="DM4" s="416"/>
      <c r="DN4" s="417"/>
      <c r="DO4" s="462" t="s">
        <v>596</v>
      </c>
      <c r="DP4" s="464" t="s">
        <v>247</v>
      </c>
      <c r="DQ4" s="465"/>
      <c r="DR4" s="7"/>
      <c r="DS4" s="7"/>
      <c r="DT4" s="7"/>
      <c r="DU4" s="7"/>
      <c r="DV4" s="7"/>
      <c r="DW4" s="7"/>
      <c r="DX4" s="7"/>
      <c r="DY4" s="7"/>
    </row>
    <row r="5" spans="1:129" s="2" customFormat="1" ht="21" customHeight="1" thickTop="1" x14ac:dyDescent="0.2">
      <c r="A5" s="534"/>
      <c r="B5" s="463"/>
      <c r="C5" s="477"/>
      <c r="D5" s="293"/>
      <c r="E5" s="463"/>
      <c r="F5" s="463"/>
      <c r="G5" s="463"/>
      <c r="H5" s="463"/>
      <c r="I5" s="477"/>
      <c r="J5" s="463"/>
      <c r="K5" s="477"/>
      <c r="L5" s="495"/>
      <c r="M5" s="328" t="s">
        <v>4</v>
      </c>
      <c r="N5" s="329" t="s">
        <v>649</v>
      </c>
      <c r="O5" s="329" t="s">
        <v>216</v>
      </c>
      <c r="P5" s="447"/>
      <c r="Q5" s="497"/>
      <c r="R5" s="497"/>
      <c r="S5" s="504" t="s">
        <v>12</v>
      </c>
      <c r="T5" s="504"/>
      <c r="U5" s="504" t="s">
        <v>420</v>
      </c>
      <c r="V5" s="504"/>
      <c r="W5" s="506"/>
      <c r="X5" s="502"/>
      <c r="Y5" s="562" t="s">
        <v>582</v>
      </c>
      <c r="Z5" s="563"/>
      <c r="AA5" s="449" t="s">
        <v>583</v>
      </c>
      <c r="AB5" s="450"/>
      <c r="AC5" s="196"/>
      <c r="AD5" s="562" t="s">
        <v>599</v>
      </c>
      <c r="AE5" s="563"/>
      <c r="AF5" s="449" t="s">
        <v>584</v>
      </c>
      <c r="AG5" s="450"/>
      <c r="AH5" s="440" t="s">
        <v>518</v>
      </c>
      <c r="AI5" s="441"/>
      <c r="AJ5" s="442"/>
      <c r="AK5" s="478" t="s">
        <v>519</v>
      </c>
      <c r="AL5" s="478"/>
      <c r="AM5" s="478"/>
      <c r="AN5" s="478"/>
      <c r="AO5" s="543" t="s">
        <v>361</v>
      </c>
      <c r="AP5" s="575" t="s">
        <v>515</v>
      </c>
      <c r="AQ5" s="576"/>
      <c r="AR5" s="577"/>
      <c r="AS5" s="575" t="s">
        <v>517</v>
      </c>
      <c r="AT5" s="576"/>
      <c r="AU5" s="577"/>
      <c r="AV5" s="478" t="s">
        <v>516</v>
      </c>
      <c r="AW5" s="478"/>
      <c r="AX5" s="478"/>
      <c r="AY5" s="478"/>
      <c r="AZ5" s="600" t="s">
        <v>66</v>
      </c>
      <c r="BA5" s="600"/>
      <c r="BB5" s="600"/>
      <c r="BC5" s="573" t="s">
        <v>67</v>
      </c>
      <c r="BD5" s="573"/>
      <c r="BE5" s="573"/>
      <c r="BF5" s="573" t="s">
        <v>68</v>
      </c>
      <c r="BG5" s="573"/>
      <c r="BH5" s="574"/>
      <c r="BI5" s="551" t="s">
        <v>383</v>
      </c>
      <c r="BJ5" s="551" t="s">
        <v>412</v>
      </c>
      <c r="BK5" s="551" t="s">
        <v>413</v>
      </c>
      <c r="BL5" s="551" t="s">
        <v>65</v>
      </c>
      <c r="BM5" s="549" t="s">
        <v>414</v>
      </c>
      <c r="BN5" s="549" t="s">
        <v>415</v>
      </c>
      <c r="BO5" s="549" t="s">
        <v>416</v>
      </c>
      <c r="BP5" s="549" t="s">
        <v>417</v>
      </c>
      <c r="BQ5" s="594" t="s">
        <v>414</v>
      </c>
      <c r="BR5" s="594" t="s">
        <v>415</v>
      </c>
      <c r="BS5" s="594" t="s">
        <v>416</v>
      </c>
      <c r="BT5" s="594" t="s">
        <v>417</v>
      </c>
      <c r="BU5" s="457"/>
      <c r="BV5" s="584"/>
      <c r="BW5" s="418" t="s">
        <v>408</v>
      </c>
      <c r="BX5" s="419"/>
      <c r="BY5" s="420"/>
      <c r="BZ5" s="418" t="s">
        <v>409</v>
      </c>
      <c r="CA5" s="419"/>
      <c r="CB5" s="420"/>
      <c r="CC5" s="418" t="s">
        <v>410</v>
      </c>
      <c r="CD5" s="419"/>
      <c r="CE5" s="420"/>
      <c r="CF5" s="426" t="s">
        <v>411</v>
      </c>
      <c r="CG5" s="427"/>
      <c r="CH5" s="428"/>
      <c r="CI5" s="460"/>
      <c r="CJ5" s="461"/>
      <c r="CK5" s="460"/>
      <c r="CL5" s="461"/>
      <c r="CM5" s="566" t="s">
        <v>408</v>
      </c>
      <c r="CN5" s="567"/>
      <c r="CO5" s="568"/>
      <c r="CP5" s="566" t="s">
        <v>409</v>
      </c>
      <c r="CQ5" s="567"/>
      <c r="CR5" s="568"/>
      <c r="CS5" s="566" t="s">
        <v>410</v>
      </c>
      <c r="CT5" s="567"/>
      <c r="CU5" s="568"/>
      <c r="CV5" s="569" t="s">
        <v>411</v>
      </c>
      <c r="CW5" s="570"/>
      <c r="CX5" s="571"/>
      <c r="CY5" s="470"/>
      <c r="CZ5" s="423"/>
      <c r="DA5" s="423"/>
      <c r="DB5" s="423"/>
      <c r="DC5" s="423"/>
      <c r="DD5" s="472"/>
      <c r="DE5" s="472"/>
      <c r="DF5" s="421" t="s">
        <v>241</v>
      </c>
      <c r="DG5" s="421" t="s">
        <v>288</v>
      </c>
      <c r="DH5" s="421" t="s">
        <v>287</v>
      </c>
      <c r="DI5" s="421" t="s">
        <v>242</v>
      </c>
      <c r="DJ5" s="413" t="s">
        <v>368</v>
      </c>
      <c r="DK5" s="413" t="s">
        <v>419</v>
      </c>
      <c r="DL5" s="413" t="s">
        <v>369</v>
      </c>
      <c r="DM5" s="413" t="s">
        <v>370</v>
      </c>
      <c r="DN5" s="413" t="s">
        <v>372</v>
      </c>
      <c r="DO5" s="463"/>
      <c r="DP5" s="466" t="s">
        <v>69</v>
      </c>
      <c r="DQ5" s="467" t="s">
        <v>70</v>
      </c>
      <c r="DR5" s="7"/>
      <c r="DS5" s="7"/>
      <c r="DT5" s="7"/>
      <c r="DU5" s="7"/>
      <c r="DV5" s="7"/>
      <c r="DW5" s="7"/>
      <c r="DX5" s="7"/>
      <c r="DY5" s="7"/>
    </row>
    <row r="6" spans="1:129" s="2" customFormat="1" ht="77.25" customHeight="1" x14ac:dyDescent="0.2">
      <c r="A6" s="535"/>
      <c r="B6" s="463"/>
      <c r="C6" s="478"/>
      <c r="D6" s="278" t="s">
        <v>629</v>
      </c>
      <c r="E6" s="463"/>
      <c r="F6" s="463"/>
      <c r="G6" s="463"/>
      <c r="H6" s="463"/>
      <c r="I6" s="478"/>
      <c r="J6" s="463"/>
      <c r="K6" s="478"/>
      <c r="L6" s="495"/>
      <c r="M6" s="274" t="s">
        <v>574</v>
      </c>
      <c r="N6" s="284" t="s">
        <v>358</v>
      </c>
      <c r="O6" s="284" t="s">
        <v>696</v>
      </c>
      <c r="P6" s="448"/>
      <c r="Q6" s="282" t="s">
        <v>422</v>
      </c>
      <c r="R6" s="282" t="s">
        <v>421</v>
      </c>
      <c r="S6" s="281" t="s">
        <v>6</v>
      </c>
      <c r="T6" s="281" t="s">
        <v>7</v>
      </c>
      <c r="U6" s="281" t="s">
        <v>6</v>
      </c>
      <c r="V6" s="281" t="s">
        <v>7</v>
      </c>
      <c r="W6" s="506"/>
      <c r="X6" s="503"/>
      <c r="Y6" s="282" t="s">
        <v>6</v>
      </c>
      <c r="Z6" s="282" t="s">
        <v>7</v>
      </c>
      <c r="AA6" s="106" t="s">
        <v>6</v>
      </c>
      <c r="AB6" s="106" t="s">
        <v>7</v>
      </c>
      <c r="AC6" s="106" t="s">
        <v>8</v>
      </c>
      <c r="AD6" s="282" t="s">
        <v>6</v>
      </c>
      <c r="AE6" s="282" t="s">
        <v>7</v>
      </c>
      <c r="AF6" s="282" t="s">
        <v>6</v>
      </c>
      <c r="AG6" s="282" t="s">
        <v>7</v>
      </c>
      <c r="AH6" s="149" t="s">
        <v>6</v>
      </c>
      <c r="AI6" s="149" t="s">
        <v>7</v>
      </c>
      <c r="AJ6" s="149" t="s">
        <v>8</v>
      </c>
      <c r="AK6" s="149" t="s">
        <v>6</v>
      </c>
      <c r="AL6" s="149" t="s">
        <v>7</v>
      </c>
      <c r="AM6" s="149" t="s">
        <v>8</v>
      </c>
      <c r="AN6" s="90" t="s">
        <v>291</v>
      </c>
      <c r="AO6" s="544"/>
      <c r="AP6" s="149" t="s">
        <v>6</v>
      </c>
      <c r="AQ6" s="149" t="s">
        <v>7</v>
      </c>
      <c r="AR6" s="149" t="s">
        <v>8</v>
      </c>
      <c r="AS6" s="149" t="s">
        <v>6</v>
      </c>
      <c r="AT6" s="149" t="s">
        <v>7</v>
      </c>
      <c r="AU6" s="149" t="s">
        <v>8</v>
      </c>
      <c r="AV6" s="149" t="s">
        <v>6</v>
      </c>
      <c r="AW6" s="149" t="s">
        <v>7</v>
      </c>
      <c r="AX6" s="149" t="s">
        <v>8</v>
      </c>
      <c r="AY6" s="90" t="s">
        <v>291</v>
      </c>
      <c r="AZ6" s="90" t="s">
        <v>71</v>
      </c>
      <c r="BA6" s="90" t="s">
        <v>72</v>
      </c>
      <c r="BB6" s="283" t="s">
        <v>246</v>
      </c>
      <c r="BC6" s="149" t="s">
        <v>6</v>
      </c>
      <c r="BD6" s="149" t="s">
        <v>7</v>
      </c>
      <c r="BE6" s="149" t="s">
        <v>8</v>
      </c>
      <c r="BF6" s="149" t="s">
        <v>6</v>
      </c>
      <c r="BG6" s="149" t="s">
        <v>7</v>
      </c>
      <c r="BH6" s="104" t="s">
        <v>8</v>
      </c>
      <c r="BI6" s="552"/>
      <c r="BJ6" s="552"/>
      <c r="BK6" s="552"/>
      <c r="BL6" s="552"/>
      <c r="BM6" s="550"/>
      <c r="BN6" s="550"/>
      <c r="BO6" s="550"/>
      <c r="BP6" s="550"/>
      <c r="BQ6" s="595"/>
      <c r="BR6" s="595"/>
      <c r="BS6" s="595"/>
      <c r="BT6" s="595"/>
      <c r="BU6" s="457"/>
      <c r="BV6" s="585"/>
      <c r="BW6" s="91" t="s">
        <v>73</v>
      </c>
      <c r="BX6" s="91" t="s">
        <v>647</v>
      </c>
      <c r="BY6" s="91" t="s">
        <v>617</v>
      </c>
      <c r="BZ6" s="91" t="s">
        <v>73</v>
      </c>
      <c r="CA6" s="91" t="s">
        <v>647</v>
      </c>
      <c r="CB6" s="91" t="s">
        <v>617</v>
      </c>
      <c r="CC6" s="91" t="s">
        <v>73</v>
      </c>
      <c r="CD6" s="91" t="s">
        <v>647</v>
      </c>
      <c r="CE6" s="91" t="s">
        <v>617</v>
      </c>
      <c r="CF6" s="91" t="s">
        <v>73</v>
      </c>
      <c r="CG6" s="91" t="s">
        <v>647</v>
      </c>
      <c r="CH6" s="91" t="s">
        <v>617</v>
      </c>
      <c r="CI6" s="92" t="s">
        <v>74</v>
      </c>
      <c r="CJ6" s="92" t="s">
        <v>75</v>
      </c>
      <c r="CK6" s="92" t="s">
        <v>74</v>
      </c>
      <c r="CL6" s="92" t="s">
        <v>75</v>
      </c>
      <c r="CM6" s="358" t="s">
        <v>73</v>
      </c>
      <c r="CN6" s="358" t="s">
        <v>647</v>
      </c>
      <c r="CO6" s="358" t="s">
        <v>617</v>
      </c>
      <c r="CP6" s="358" t="s">
        <v>73</v>
      </c>
      <c r="CQ6" s="358" t="s">
        <v>647</v>
      </c>
      <c r="CR6" s="358" t="s">
        <v>617</v>
      </c>
      <c r="CS6" s="358" t="s">
        <v>73</v>
      </c>
      <c r="CT6" s="358" t="s">
        <v>647</v>
      </c>
      <c r="CU6" s="358" t="s">
        <v>617</v>
      </c>
      <c r="CV6" s="358" t="s">
        <v>73</v>
      </c>
      <c r="CW6" s="358" t="s">
        <v>647</v>
      </c>
      <c r="CX6" s="358" t="s">
        <v>617</v>
      </c>
      <c r="CY6" s="296" t="s">
        <v>316</v>
      </c>
      <c r="CZ6" s="424"/>
      <c r="DA6" s="424"/>
      <c r="DB6" s="424"/>
      <c r="DC6" s="424"/>
      <c r="DD6" s="472"/>
      <c r="DE6" s="472"/>
      <c r="DF6" s="421"/>
      <c r="DG6" s="421"/>
      <c r="DH6" s="421"/>
      <c r="DI6" s="421"/>
      <c r="DJ6" s="413"/>
      <c r="DK6" s="413"/>
      <c r="DL6" s="413"/>
      <c r="DM6" s="413"/>
      <c r="DN6" s="413"/>
      <c r="DO6" s="463"/>
      <c r="DP6" s="466"/>
      <c r="DQ6" s="467"/>
      <c r="DR6" s="7"/>
      <c r="DS6" s="7"/>
      <c r="DT6" s="7"/>
      <c r="DU6" s="7"/>
      <c r="DV6" s="7"/>
      <c r="DW6" s="7"/>
      <c r="DX6" s="7"/>
      <c r="DY6" s="7"/>
    </row>
    <row r="7" spans="1:129" ht="363.75" customHeight="1" x14ac:dyDescent="0.2">
      <c r="A7" s="536" t="s">
        <v>16</v>
      </c>
      <c r="B7" s="10" t="s">
        <v>17</v>
      </c>
      <c r="C7" s="84"/>
      <c r="D7" s="241">
        <v>101</v>
      </c>
      <c r="E7" s="370" t="s">
        <v>723</v>
      </c>
      <c r="F7" s="280" t="s">
        <v>522</v>
      </c>
      <c r="G7" s="280" t="s">
        <v>76</v>
      </c>
      <c r="H7" s="286" t="s">
        <v>520</v>
      </c>
      <c r="I7" s="285" t="s">
        <v>498</v>
      </c>
      <c r="J7" s="279" t="s">
        <v>464</v>
      </c>
      <c r="K7" s="265" t="s">
        <v>655</v>
      </c>
      <c r="L7" s="280" t="s">
        <v>9</v>
      </c>
      <c r="M7" s="319">
        <f>N7*15000</f>
        <v>15000</v>
      </c>
      <c r="N7" s="314">
        <v>1</v>
      </c>
      <c r="O7" s="11" t="s">
        <v>77</v>
      </c>
      <c r="P7" s="316">
        <f>M7/$P$2</f>
        <v>93.75</v>
      </c>
      <c r="Q7" s="144">
        <f>$Q$97+10</f>
        <v>30</v>
      </c>
      <c r="R7" s="272">
        <f>$R$97</f>
        <v>6</v>
      </c>
      <c r="S7" s="335">
        <v>80</v>
      </c>
      <c r="T7" s="4">
        <v>95</v>
      </c>
      <c r="U7" s="4">
        <v>40</v>
      </c>
      <c r="V7" s="4">
        <v>60</v>
      </c>
      <c r="W7" s="194">
        <f>($Q$43-($Q$43*(($T$43+$S$43)/2)/100)-(Q7-(Q7*((T7+S7)/2)/100)))/($Q$43-($Q$43*(($T$43+$S$43)/2)/100))</f>
        <v>0.78231292517006801</v>
      </c>
      <c r="X7" s="51" t="s">
        <v>390</v>
      </c>
      <c r="Y7" s="150">
        <f t="shared" ref="Y7:Y16" si="0">((($Q7)*($S7/100))*(8.34*($M7/1000000)))*365</f>
        <v>1095.876</v>
      </c>
      <c r="Z7" s="150">
        <f t="shared" ref="Z7:Z16" si="1">((($Q7)*($T7/100))*(8.34*($M7/1000000)))*365</f>
        <v>1301.3527499999998</v>
      </c>
      <c r="AA7" s="150">
        <f>Y7*0.4536</f>
        <v>497.08935359999998</v>
      </c>
      <c r="AB7" s="150">
        <f>Z7*0.4536</f>
        <v>590.29360739999993</v>
      </c>
      <c r="AC7" s="150">
        <f>(AA7+AB7)/2</f>
        <v>543.6914804999999</v>
      </c>
      <c r="AD7" s="150">
        <f t="shared" ref="AD7:AD16" si="2">((($R7)*($U7/100))*(8.34*($M7/1000000)))*365</f>
        <v>109.58760000000001</v>
      </c>
      <c r="AE7" s="150">
        <f t="shared" ref="AE7:AE16" si="3">((($R7)*($V7/100))*(8.34*($M7/1000000)))*365</f>
        <v>164.38139999999999</v>
      </c>
      <c r="AF7" s="150">
        <f>AD7*0.4536</f>
        <v>49.708935360000005</v>
      </c>
      <c r="AG7" s="150">
        <f>AE7*0.4536</f>
        <v>74.563403039999997</v>
      </c>
      <c r="AH7" s="280"/>
      <c r="AI7" s="286"/>
      <c r="AJ7" s="116">
        <f>ROUND((-0.000006*M7^2+27.458*M7+14583),-3)</f>
        <v>425000</v>
      </c>
      <c r="AK7" s="116"/>
      <c r="AL7" s="116"/>
      <c r="AM7" s="116">
        <f t="shared" ref="AM7:AM38" si="4">AJ7*($AA$99/$AA$97)</f>
        <v>425000</v>
      </c>
      <c r="AN7" s="336">
        <v>0.85</v>
      </c>
      <c r="AO7" s="116">
        <v>0</v>
      </c>
      <c r="AP7" s="116"/>
      <c r="AQ7" s="116"/>
      <c r="AR7" s="76">
        <f>(AM7*(1+$AN$2))+AO7</f>
        <v>595000</v>
      </c>
      <c r="AS7" s="116"/>
      <c r="AT7" s="116"/>
      <c r="AU7" s="116">
        <f>ROUND((5.4804*M7^0.7616),-3)</f>
        <v>8000</v>
      </c>
      <c r="AV7" s="76"/>
      <c r="AW7" s="76"/>
      <c r="AX7" s="76">
        <f t="shared" ref="AX7:AX38" si="5">AU7*($AA$99/$AA$97)</f>
        <v>8000</v>
      </c>
      <c r="AY7" s="337">
        <v>0.75</v>
      </c>
      <c r="AZ7" s="51">
        <v>0.2</v>
      </c>
      <c r="BA7" s="51">
        <v>0</v>
      </c>
      <c r="BB7" s="338" t="s">
        <v>302</v>
      </c>
      <c r="BC7" s="76"/>
      <c r="BD7" s="76"/>
      <c r="BE7" s="76">
        <f>AR7*(1+$AZ7)</f>
        <v>714000</v>
      </c>
      <c r="BF7" s="76"/>
      <c r="BG7" s="76"/>
      <c r="BH7" s="76">
        <f t="shared" ref="BH7:BH73" si="6">AX7*(1+$BA7)</f>
        <v>8000</v>
      </c>
      <c r="BI7" s="4">
        <v>20</v>
      </c>
      <c r="BJ7" s="116">
        <v>178500</v>
      </c>
      <c r="BK7" s="76">
        <f t="shared" ref="BK7:BK40" si="7">IF(($CB$2/BI7)&gt;0,((($CB$2/BI7))*BJ7),0)</f>
        <v>178500</v>
      </c>
      <c r="BL7" s="116">
        <f t="shared" ref="BL7:BL38" si="8">PV(((1+$BY$2)^BI7)-1,ROUNDUP($CB$2/BI7,0),-BJ7,0,0)</f>
        <v>67274.772692830607</v>
      </c>
      <c r="BM7" s="4">
        <f t="shared" ref="BM7:BM38" si="9">IF((($Y7+$Z7)&gt;0),((($Y7+$Z7)/2)*$CB$2),0)</f>
        <v>23972.287499999999</v>
      </c>
      <c r="BN7" s="4">
        <f>BM7*0.4536</f>
        <v>10873.829609999999</v>
      </c>
      <c r="BO7" s="4">
        <f t="shared" ref="BO7:BO38" si="10">IF((($AD7+$AE7)&gt;0),((($AD7+$AE7)/2)*$CB$2),0)</f>
        <v>2739.69</v>
      </c>
      <c r="BP7" s="4">
        <f>BO7*0.4536</f>
        <v>1242.7233840000001</v>
      </c>
      <c r="BQ7" s="335">
        <f t="shared" ref="BQ7:BQ38" si="11">IF($Q7&lt;$W$112,BM7,(BM7-((BM7/$Q7)*($Q7-$W$112))))</f>
        <v>20975.751562499998</v>
      </c>
      <c r="BR7" s="335">
        <f t="shared" ref="BR7:BR38" si="12">IF($Q7&lt;$W$112,BN7,(BN7-((BN7/$Q7)*($Q7-$W$112))))</f>
        <v>9514.6009087499988</v>
      </c>
      <c r="BS7" s="335">
        <f t="shared" ref="BS7:BS38" si="13">IF($R7&lt;$X$112,BO7,(BO7-((BO7/$R7)*($R7-$X$112))))</f>
        <v>2739.69</v>
      </c>
      <c r="BT7" s="335">
        <f t="shared" ref="BT7:BT38" si="14">IF($R7&lt;$X$112,BP7,(BP7-((BP7/$R7)*($R7-$X$112))))</f>
        <v>1242.7233840000001</v>
      </c>
      <c r="BU7" s="76" t="str">
        <f t="shared" ref="BU7:BU38" si="15">IF((Y7+Z7+AD7+AE7=0),(BE7+PV($BY$2,$CB$2,-BH7,0,0)),"N/A")</f>
        <v>N/A</v>
      </c>
      <c r="BV7" s="116">
        <f t="shared" ref="BV7:BV35" si="16">((BE7/12.46)+BH7)/((AA7+AB7)/2)</f>
        <v>120.11107977351662</v>
      </c>
      <c r="BW7" s="88">
        <f t="shared" ref="BW7:BW51" si="17">IF($BM7&gt;0,(($BE7+$BL7)/$BM7),0)</f>
        <v>32.590747657804066</v>
      </c>
      <c r="BX7" s="89">
        <f t="shared" ref="BX7:BX51" si="18">IF($BM7&gt;0,((PV($BY$2,$CB$2,-$BH7))/$BM7),0)</f>
        <v>4.1588723120528188</v>
      </c>
      <c r="BY7" s="89">
        <f t="shared" ref="BY7:BY51" si="19">BW7+BX7</f>
        <v>36.749619969856887</v>
      </c>
      <c r="BZ7" s="89">
        <f t="shared" ref="BZ7:BZ51" si="20">IF($BN7&gt;0,(($BE7+$BL7)/$BN7),0)</f>
        <v>71.849090956358168</v>
      </c>
      <c r="CA7" s="89">
        <f t="shared" ref="CA7:CA51" si="21">IF($BN7&gt;0,((PV($BY$2,$CB$2,-$BH7))/$BN7),0)</f>
        <v>9.1685897532028644</v>
      </c>
      <c r="CB7" s="89">
        <f t="shared" ref="CB7:CB51" si="22">BZ7+CA7</f>
        <v>81.017680709561034</v>
      </c>
      <c r="CC7" s="89">
        <f t="shared" ref="CC7:CC51" si="23">IF($BO7&gt;0,(($BE7+$BL7)/$BO7),0)</f>
        <v>285.16904200578557</v>
      </c>
      <c r="CD7" s="89">
        <f t="shared" ref="CD7:CD51" si="24">IF($BO7&gt;0,((PV($BY$2,$CB$2,-$BH7))/$BO7),0)</f>
        <v>36.390132730462163</v>
      </c>
      <c r="CE7" s="89">
        <f t="shared" ref="CE7:CE51" si="25">CC7+CD7</f>
        <v>321.55917473624771</v>
      </c>
      <c r="CF7" s="89">
        <f t="shared" ref="CF7:CF51" si="26">IF($BP7&gt;0,(($BE7+$BL7)/$BP7),0)</f>
        <v>628.67954586813391</v>
      </c>
      <c r="CG7" s="89">
        <f t="shared" ref="CG7:CG51" si="27">IF($BP7&gt;0,((PV($BY$2,$CB$2,-$BH7))/$BP7),0)</f>
        <v>80.225160340525036</v>
      </c>
      <c r="CH7" s="89">
        <f t="shared" ref="CH7:CH51" si="28">CF7+CG7</f>
        <v>708.90470620865892</v>
      </c>
      <c r="CI7" s="41">
        <f>IF(Z7&gt;0,((BC7+PV($BY$2,$CB$2,-BF7,0,0))/Z7),0)</f>
        <v>0</v>
      </c>
      <c r="CJ7" s="41">
        <f>IF(Y7&gt;0,((BD7+PV($BY$2,$CB$2,-BG7,0,0))/Y7),0)</f>
        <v>0</v>
      </c>
      <c r="CK7" s="41">
        <f>IF(AE7&gt;0,((BC7+PV($BY$2,$CB$2,-BF7,0,0))/AE7),0)</f>
        <v>0</v>
      </c>
      <c r="CL7" s="41">
        <f>IF(AD7&gt;0,((BD7+PV($BY$2,$CB$2,-BG7,0,0))/AD7),0)</f>
        <v>0</v>
      </c>
      <c r="CM7" s="359">
        <f t="shared" ref="CM7:CM51" si="29">IF($BQ7&gt;0,(($BE7+$BL7)/$BQ7),0)</f>
        <v>37.246568751776074</v>
      </c>
      <c r="CN7" s="210">
        <f t="shared" ref="CN7:CN51" si="30">IF($BQ7&gt;0,((PV($BY$2,$CB$2,-$BH7))/$BQ7),0)</f>
        <v>4.752996928060365</v>
      </c>
      <c r="CO7" s="210">
        <f t="shared" ref="CO7" si="31">CM7+CN7</f>
        <v>41.999565679836437</v>
      </c>
      <c r="CP7" s="210">
        <f t="shared" ref="CP7:CP51" si="32">IF($BR7&gt;0,(($BE7+$BL7)/$BR7),0)</f>
        <v>82.113246807266492</v>
      </c>
      <c r="CQ7" s="210">
        <f t="shared" ref="CQ7:CQ51" si="33">IF($BR7&gt;0,((PV($BY$2,$CB$2,-$BH7))/$BR7),0)</f>
        <v>10.478388289374703</v>
      </c>
      <c r="CR7" s="210">
        <f t="shared" ref="CR7" si="34">CP7+CQ7</f>
        <v>92.591635096641198</v>
      </c>
      <c r="CS7" s="210">
        <f t="shared" ref="CS7:CS51" si="35">IF($BS7&gt;0,(($BE7+$BL7)/$BS7),0)</f>
        <v>285.16904200578557</v>
      </c>
      <c r="CT7" s="210">
        <f t="shared" ref="CT7:CT51" si="36">IF($BS7&gt;0,((PV($BY$2,$CB$2,-$BH7))/$BS7),0)</f>
        <v>36.390132730462163</v>
      </c>
      <c r="CU7" s="210">
        <f t="shared" ref="CU7" si="37">CS7+CT7</f>
        <v>321.55917473624771</v>
      </c>
      <c r="CV7" s="210">
        <f t="shared" ref="CV7:CV51" si="38">IF($BT7&gt;0,(($BE7+$BL7)/$BT7),0)</f>
        <v>628.67954586813391</v>
      </c>
      <c r="CW7" s="210">
        <f t="shared" ref="CW7:CW51" si="39">IF($BT7&gt;0,((PV($BY$2,$CB$2,-$BH7))/$BT7),0)</f>
        <v>80.225160340525036</v>
      </c>
      <c r="CX7" s="210">
        <f t="shared" ref="CX7" si="40">CV7+CW7</f>
        <v>708.90470620865892</v>
      </c>
      <c r="CY7" s="299" t="s">
        <v>319</v>
      </c>
      <c r="CZ7" s="298" t="s">
        <v>56</v>
      </c>
      <c r="DA7" s="298" t="s">
        <v>57</v>
      </c>
      <c r="DB7" s="298" t="s">
        <v>345</v>
      </c>
      <c r="DC7" s="298" t="s">
        <v>57</v>
      </c>
      <c r="DD7" s="370" t="s">
        <v>752</v>
      </c>
      <c r="DE7" s="279" t="s">
        <v>251</v>
      </c>
      <c r="DF7" s="298" t="s">
        <v>56</v>
      </c>
      <c r="DG7" s="298" t="s">
        <v>56</v>
      </c>
      <c r="DH7" s="298" t="s">
        <v>56</v>
      </c>
      <c r="DI7" s="298" t="s">
        <v>56</v>
      </c>
      <c r="DJ7" s="279" t="s">
        <v>379</v>
      </c>
      <c r="DK7" s="280" t="s">
        <v>373</v>
      </c>
      <c r="DL7" s="279" t="s">
        <v>365</v>
      </c>
      <c r="DM7" s="279" t="s">
        <v>379</v>
      </c>
      <c r="DN7" s="280" t="s">
        <v>552</v>
      </c>
      <c r="DO7" s="279" t="s">
        <v>753</v>
      </c>
      <c r="DP7" s="279" t="s">
        <v>248</v>
      </c>
      <c r="DQ7" s="109"/>
      <c r="DR7" s="28"/>
      <c r="DS7" s="28"/>
      <c r="DT7" s="28"/>
      <c r="DU7" s="28"/>
      <c r="DV7" s="28"/>
      <c r="DW7" s="28"/>
      <c r="DX7" s="28"/>
      <c r="DY7" s="28"/>
    </row>
    <row r="8" spans="1:129" ht="212.25" customHeight="1" x14ac:dyDescent="0.2">
      <c r="A8" s="537"/>
      <c r="B8" s="10" t="s">
        <v>463</v>
      </c>
      <c r="C8" s="84"/>
      <c r="D8" s="241">
        <v>102</v>
      </c>
      <c r="E8" s="370" t="s">
        <v>754</v>
      </c>
      <c r="F8" s="280" t="s">
        <v>522</v>
      </c>
      <c r="G8" s="280" t="s">
        <v>76</v>
      </c>
      <c r="H8" s="286" t="s">
        <v>521</v>
      </c>
      <c r="I8" s="285" t="s">
        <v>498</v>
      </c>
      <c r="J8" s="279" t="s">
        <v>465</v>
      </c>
      <c r="K8" s="265" t="s">
        <v>656</v>
      </c>
      <c r="L8" s="280" t="s">
        <v>9</v>
      </c>
      <c r="M8" s="319">
        <f>N8*16500</f>
        <v>16500</v>
      </c>
      <c r="N8" s="314">
        <v>1</v>
      </c>
      <c r="O8" s="11" t="s">
        <v>77</v>
      </c>
      <c r="P8" s="316">
        <f>M8/$P$2</f>
        <v>103.125</v>
      </c>
      <c r="Q8" s="144">
        <f>$Q$97+10</f>
        <v>30</v>
      </c>
      <c r="R8" s="272">
        <f t="shared" ref="R8:R9" si="41">$R$97</f>
        <v>6</v>
      </c>
      <c r="S8" s="4">
        <v>85</v>
      </c>
      <c r="T8" s="4">
        <v>95</v>
      </c>
      <c r="U8" s="4">
        <v>50</v>
      </c>
      <c r="V8" s="4">
        <v>90</v>
      </c>
      <c r="W8" s="194">
        <f t="shared" ref="W8:W51" si="42">($Q$43-($Q$43*(($T$43+$S$43)/2)/100)-(Q8-(Q8*((T8+S8)/2)/100)))/($Q$43-($Q$43*(($T$43+$S$43)/2)/100))</f>
        <v>0.82585034013605441</v>
      </c>
      <c r="X8" s="51" t="s">
        <v>390</v>
      </c>
      <c r="Y8" s="150">
        <f t="shared" si="0"/>
        <v>1280.805075</v>
      </c>
      <c r="Z8" s="150">
        <f t="shared" si="1"/>
        <v>1431.4880250000001</v>
      </c>
      <c r="AA8" s="150">
        <f t="shared" ref="AA8:AA40" si="43">Y8*0.4536</f>
        <v>580.97318201999997</v>
      </c>
      <c r="AB8" s="150">
        <f t="shared" ref="AB8:AB16" si="44">Z8*0.4536</f>
        <v>649.32296814000006</v>
      </c>
      <c r="AC8" s="150">
        <f t="shared" ref="AC8:AC16" si="45">(AA8+AB8)/2</f>
        <v>615.14807508000001</v>
      </c>
      <c r="AD8" s="150">
        <f t="shared" si="2"/>
        <v>150.68295000000001</v>
      </c>
      <c r="AE8" s="150">
        <f t="shared" si="3"/>
        <v>271.22931000000005</v>
      </c>
      <c r="AF8" s="150">
        <f t="shared" ref="AF8:AF16" si="46">AD8*0.4536</f>
        <v>68.349786120000005</v>
      </c>
      <c r="AG8" s="150">
        <f t="shared" ref="AG8:AG16" si="47">AE8*0.4536</f>
        <v>123.02961501600002</v>
      </c>
      <c r="AH8" s="280"/>
      <c r="AI8" s="280"/>
      <c r="AJ8" s="116">
        <f>ROUND((-0.000006*M8^2+26.364*M8+16667),-3)</f>
        <v>450000</v>
      </c>
      <c r="AK8" s="76"/>
      <c r="AL8" s="76"/>
      <c r="AM8" s="76">
        <f t="shared" si="4"/>
        <v>450000</v>
      </c>
      <c r="AN8" s="108">
        <v>0.85</v>
      </c>
      <c r="AO8" s="76">
        <v>0</v>
      </c>
      <c r="AP8" s="76"/>
      <c r="AQ8" s="76"/>
      <c r="AR8" s="76">
        <f>(AM8*(1+$AN$2))+AO8</f>
        <v>630000</v>
      </c>
      <c r="AS8" s="76"/>
      <c r="AT8" s="76"/>
      <c r="AU8" s="116">
        <f>ROUND((6.2613*M8^0.747),-3)</f>
        <v>9000</v>
      </c>
      <c r="AV8" s="76"/>
      <c r="AW8" s="76"/>
      <c r="AX8" s="76">
        <f t="shared" si="5"/>
        <v>9000</v>
      </c>
      <c r="AY8" s="337">
        <v>0.75</v>
      </c>
      <c r="AZ8" s="51">
        <v>0.2</v>
      </c>
      <c r="BA8" s="51">
        <v>0</v>
      </c>
      <c r="BB8" s="338" t="s">
        <v>302</v>
      </c>
      <c r="BC8" s="76"/>
      <c r="BD8" s="76"/>
      <c r="BE8" s="76">
        <f t="shared" ref="BE8:BE74" si="48">AR8*(1+$AZ8)</f>
        <v>756000</v>
      </c>
      <c r="BF8" s="76"/>
      <c r="BG8" s="76"/>
      <c r="BH8" s="76">
        <f t="shared" si="6"/>
        <v>9000</v>
      </c>
      <c r="BI8" s="4">
        <v>20</v>
      </c>
      <c r="BJ8" s="76">
        <f>BE8*0.25</f>
        <v>189000</v>
      </c>
      <c r="BK8" s="76">
        <f t="shared" si="7"/>
        <v>189000</v>
      </c>
      <c r="BL8" s="116">
        <f t="shared" si="8"/>
        <v>71232.112262997107</v>
      </c>
      <c r="BM8" s="4">
        <f t="shared" si="9"/>
        <v>27122.930999999997</v>
      </c>
      <c r="BN8" s="4">
        <f t="shared" ref="BN8" si="49">BM8*0.4536</f>
        <v>12302.961501599999</v>
      </c>
      <c r="BO8" s="4">
        <f t="shared" si="10"/>
        <v>4219.1226000000006</v>
      </c>
      <c r="BP8" s="4">
        <f t="shared" ref="BP8" si="50">BO8*0.4536</f>
        <v>1913.7940113600002</v>
      </c>
      <c r="BQ8" s="335">
        <f t="shared" si="11"/>
        <v>23732.564624999999</v>
      </c>
      <c r="BR8" s="335">
        <f t="shared" si="12"/>
        <v>10765.091313899999</v>
      </c>
      <c r="BS8" s="335">
        <f t="shared" si="13"/>
        <v>4219.1226000000006</v>
      </c>
      <c r="BT8" s="335">
        <f t="shared" si="14"/>
        <v>1913.7940113600002</v>
      </c>
      <c r="BU8" s="76" t="str">
        <f t="shared" si="15"/>
        <v>N/A</v>
      </c>
      <c r="BV8" s="116">
        <f t="shared" si="16"/>
        <v>113.26404182327914</v>
      </c>
      <c r="BW8" s="88">
        <f t="shared" si="17"/>
        <v>30.499362781367441</v>
      </c>
      <c r="BX8" s="89">
        <f t="shared" si="18"/>
        <v>4.1352423557343378</v>
      </c>
      <c r="BY8" s="89">
        <f t="shared" si="19"/>
        <v>34.634605137101779</v>
      </c>
      <c r="BZ8" s="89">
        <f t="shared" si="20"/>
        <v>67.238454103543745</v>
      </c>
      <c r="CA8" s="89">
        <f t="shared" si="21"/>
        <v>9.1164954932414854</v>
      </c>
      <c r="CB8" s="89">
        <f t="shared" si="22"/>
        <v>76.354949596785232</v>
      </c>
      <c r="CC8" s="89">
        <f t="shared" si="23"/>
        <v>196.06733216593349</v>
      </c>
      <c r="CD8" s="89">
        <f t="shared" si="24"/>
        <v>26.583700858292165</v>
      </c>
      <c r="CE8" s="89">
        <f t="shared" si="25"/>
        <v>222.65103302422565</v>
      </c>
      <c r="CF8" s="89">
        <f t="shared" si="26"/>
        <v>432.2472049513525</v>
      </c>
      <c r="CG8" s="89">
        <f t="shared" si="27"/>
        <v>58.606042456552387</v>
      </c>
      <c r="CH8" s="89">
        <f t="shared" si="28"/>
        <v>490.85324740790486</v>
      </c>
      <c r="CI8" s="41">
        <f>IF(Z8&gt;0,((BC8+PV($BY$2,$CB$2,-BF8,0,0))/Z8),0)</f>
        <v>0</v>
      </c>
      <c r="CJ8" s="41">
        <f>IF(Y8&gt;0,((BD8+PV($BY$2,$CB$2,-BG8,0,0))/Y8),0)</f>
        <v>0</v>
      </c>
      <c r="CK8" s="41">
        <f>IF(AE8&gt;0,((BC8+PV($BY$2,$CB$2,-BF8,0,0))/AE8),0)</f>
        <v>0</v>
      </c>
      <c r="CL8" s="41">
        <f>IF(AD8&gt;0,((BD8+PV($BY$2,$CB$2,-BG8,0,0))/AD8),0)</f>
        <v>0</v>
      </c>
      <c r="CM8" s="359">
        <f t="shared" si="29"/>
        <v>34.856414607277074</v>
      </c>
      <c r="CN8" s="210">
        <f t="shared" si="30"/>
        <v>4.7259912636963852</v>
      </c>
      <c r="CO8" s="210">
        <f t="shared" ref="CO8:CO51" si="51">CM8+CN8</f>
        <v>39.58240587097346</v>
      </c>
      <c r="CP8" s="210">
        <f t="shared" si="32"/>
        <v>76.843947546907131</v>
      </c>
      <c r="CQ8" s="210">
        <f t="shared" si="33"/>
        <v>10.418851992275984</v>
      </c>
      <c r="CR8" s="210">
        <f t="shared" ref="CR8:CR51" si="52">CP8+CQ8</f>
        <v>87.262799539183121</v>
      </c>
      <c r="CS8" s="210">
        <f t="shared" si="35"/>
        <v>196.06733216593349</v>
      </c>
      <c r="CT8" s="210">
        <f t="shared" si="36"/>
        <v>26.583700858292165</v>
      </c>
      <c r="CU8" s="210">
        <f t="shared" ref="CU8:CU51" si="53">CS8+CT8</f>
        <v>222.65103302422565</v>
      </c>
      <c r="CV8" s="210">
        <f t="shared" si="38"/>
        <v>432.2472049513525</v>
      </c>
      <c r="CW8" s="210">
        <f t="shared" si="39"/>
        <v>58.606042456552387</v>
      </c>
      <c r="CX8" s="210">
        <f t="shared" ref="CX8:CX51" si="54">CV8+CW8</f>
        <v>490.85324740790486</v>
      </c>
      <c r="CY8" s="299" t="s">
        <v>319</v>
      </c>
      <c r="CZ8" s="298" t="s">
        <v>56</v>
      </c>
      <c r="DA8" s="298" t="s">
        <v>57</v>
      </c>
      <c r="DB8" s="298" t="s">
        <v>345</v>
      </c>
      <c r="DC8" s="298" t="s">
        <v>57</v>
      </c>
      <c r="DD8" s="371" t="s">
        <v>751</v>
      </c>
      <c r="DE8" s="285" t="s">
        <v>252</v>
      </c>
      <c r="DF8" s="298" t="s">
        <v>56</v>
      </c>
      <c r="DG8" s="298" t="s">
        <v>56</v>
      </c>
      <c r="DH8" s="298" t="s">
        <v>56</v>
      </c>
      <c r="DI8" s="298" t="s">
        <v>56</v>
      </c>
      <c r="DJ8" s="279" t="s">
        <v>379</v>
      </c>
      <c r="DK8" s="280" t="s">
        <v>373</v>
      </c>
      <c r="DL8" s="279" t="s">
        <v>365</v>
      </c>
      <c r="DM8" s="279" t="s">
        <v>379</v>
      </c>
      <c r="DN8" s="280" t="s">
        <v>552</v>
      </c>
      <c r="DO8" s="279" t="s">
        <v>616</v>
      </c>
      <c r="DP8" s="279" t="s">
        <v>78</v>
      </c>
      <c r="DQ8" s="109"/>
      <c r="DR8" s="28"/>
      <c r="DS8" s="28"/>
      <c r="DT8" s="28"/>
      <c r="DU8" s="28"/>
      <c r="DV8" s="28"/>
      <c r="DW8" s="28"/>
      <c r="DX8" s="28"/>
      <c r="DY8" s="28"/>
    </row>
    <row r="9" spans="1:129" ht="255" customHeight="1" x14ac:dyDescent="0.2">
      <c r="A9" s="537"/>
      <c r="B9" s="10" t="s">
        <v>459</v>
      </c>
      <c r="C9" s="84"/>
      <c r="D9" s="241">
        <v>103</v>
      </c>
      <c r="E9" s="370" t="s">
        <v>724</v>
      </c>
      <c r="F9" s="280" t="s">
        <v>13</v>
      </c>
      <c r="G9" s="280" t="s">
        <v>460</v>
      </c>
      <c r="H9" s="286" t="s">
        <v>521</v>
      </c>
      <c r="I9" s="285" t="s">
        <v>498</v>
      </c>
      <c r="J9" s="279" t="s">
        <v>466</v>
      </c>
      <c r="K9" s="265" t="s">
        <v>704</v>
      </c>
      <c r="L9" s="280" t="s">
        <v>9</v>
      </c>
      <c r="M9" s="319">
        <f>N9*16500</f>
        <v>16500</v>
      </c>
      <c r="N9" s="314">
        <v>1</v>
      </c>
      <c r="O9" s="11"/>
      <c r="P9" s="316">
        <f>M9/$P$2</f>
        <v>103.125</v>
      </c>
      <c r="Q9" s="144">
        <f>T97</f>
        <v>6</v>
      </c>
      <c r="R9" s="272">
        <f t="shared" si="41"/>
        <v>6</v>
      </c>
      <c r="S9" s="4">
        <v>85</v>
      </c>
      <c r="T9" s="4">
        <v>95</v>
      </c>
      <c r="U9" s="4">
        <v>50</v>
      </c>
      <c r="V9" s="4">
        <v>90</v>
      </c>
      <c r="W9" s="194">
        <f t="shared" si="42"/>
        <v>0.96517006802721084</v>
      </c>
      <c r="X9" s="51" t="s">
        <v>390</v>
      </c>
      <c r="Y9" s="150">
        <f t="shared" si="0"/>
        <v>256.16101499999996</v>
      </c>
      <c r="Z9" s="150">
        <f t="shared" si="1"/>
        <v>286.29760499999998</v>
      </c>
      <c r="AA9" s="150">
        <f t="shared" si="43"/>
        <v>116.19463640399998</v>
      </c>
      <c r="AB9" s="150">
        <f t="shared" si="44"/>
        <v>129.86459362799999</v>
      </c>
      <c r="AC9" s="150">
        <f t="shared" si="45"/>
        <v>123.02961501599998</v>
      </c>
      <c r="AD9" s="150">
        <f t="shared" si="2"/>
        <v>150.68295000000001</v>
      </c>
      <c r="AE9" s="150">
        <f t="shared" si="3"/>
        <v>271.22931000000005</v>
      </c>
      <c r="AF9" s="150">
        <f t="shared" si="46"/>
        <v>68.349786120000005</v>
      </c>
      <c r="AG9" s="150">
        <f t="shared" si="47"/>
        <v>123.02961501600002</v>
      </c>
      <c r="AH9" s="76">
        <v>150000</v>
      </c>
      <c r="AI9" s="76">
        <v>300000</v>
      </c>
      <c r="AJ9" s="76">
        <f t="shared" ref="AJ9:AJ45" si="55">(AH9+AI9)/2</f>
        <v>225000</v>
      </c>
      <c r="AK9" s="76">
        <f t="shared" ref="AK9:AK20" si="56">AH9*($AA$99/$AA$97)</f>
        <v>150000</v>
      </c>
      <c r="AL9" s="76">
        <f t="shared" ref="AL9:AL20" si="57">AI9*($AA$99/$AA$97)</f>
        <v>300000</v>
      </c>
      <c r="AM9" s="76">
        <f t="shared" si="4"/>
        <v>225000</v>
      </c>
      <c r="AN9" s="108">
        <v>0.85</v>
      </c>
      <c r="AO9" s="76">
        <v>250000</v>
      </c>
      <c r="AP9" s="76">
        <f t="shared" ref="AP9:AP38" si="58">(AK9*(1+$AN$2))+AO9</f>
        <v>460000</v>
      </c>
      <c r="AQ9" s="76">
        <f t="shared" ref="AQ9:AQ38" si="59">(AL9*(1+$AN$2))+AO9</f>
        <v>670000</v>
      </c>
      <c r="AR9" s="76">
        <f t="shared" ref="AR9:AR77" si="60">(AP9+AQ9)/2</f>
        <v>565000</v>
      </c>
      <c r="AS9" s="76">
        <v>5000</v>
      </c>
      <c r="AT9" s="76">
        <v>10000</v>
      </c>
      <c r="AU9" s="76">
        <f t="shared" ref="AU9" si="61">(AS9+AT9)/2</f>
        <v>7500</v>
      </c>
      <c r="AV9" s="76">
        <f t="shared" ref="AV9:AV20" si="62">AS9*($AA$99/$AA$97)</f>
        <v>5000</v>
      </c>
      <c r="AW9" s="76">
        <f t="shared" ref="AW9:AW20" si="63">AT9*($AA$99/$AA$97)</f>
        <v>10000</v>
      </c>
      <c r="AX9" s="76">
        <f t="shared" si="5"/>
        <v>7500</v>
      </c>
      <c r="AY9" s="337">
        <v>0.75</v>
      </c>
      <c r="AZ9" s="51">
        <v>0.2</v>
      </c>
      <c r="BA9" s="51">
        <v>0</v>
      </c>
      <c r="BB9" s="338" t="s">
        <v>302</v>
      </c>
      <c r="BC9" s="76">
        <f t="shared" ref="BC9:BD12" si="64">AP9*(1+$AZ9)</f>
        <v>552000</v>
      </c>
      <c r="BD9" s="76">
        <f t="shared" si="64"/>
        <v>804000</v>
      </c>
      <c r="BE9" s="76">
        <f t="shared" si="48"/>
        <v>678000</v>
      </c>
      <c r="BF9" s="76">
        <f>AV9*(1+$BA9)</f>
        <v>5000</v>
      </c>
      <c r="BG9" s="76">
        <f>AW9*(1+$BA9)</f>
        <v>10000</v>
      </c>
      <c r="BH9" s="76">
        <f t="shared" si="6"/>
        <v>7500</v>
      </c>
      <c r="BI9" s="4">
        <v>20</v>
      </c>
      <c r="BJ9" s="76">
        <f>BE9*0.25</f>
        <v>169500</v>
      </c>
      <c r="BK9" s="76">
        <f t="shared" si="7"/>
        <v>169500</v>
      </c>
      <c r="BL9" s="116">
        <f t="shared" si="8"/>
        <v>63882.767346973604</v>
      </c>
      <c r="BM9" s="4">
        <f t="shared" si="9"/>
        <v>5424.5861999999988</v>
      </c>
      <c r="BN9" s="4">
        <f t="shared" ref="BN9:BN77" si="65">BM9*0.4536</f>
        <v>2460.5923003199996</v>
      </c>
      <c r="BO9" s="4">
        <f t="shared" si="10"/>
        <v>4219.1226000000006</v>
      </c>
      <c r="BP9" s="4">
        <f t="shared" ref="BP9:BP77" si="66">BO9*0.4536</f>
        <v>1913.7940113600002</v>
      </c>
      <c r="BQ9" s="335">
        <f t="shared" si="11"/>
        <v>5424.5861999999988</v>
      </c>
      <c r="BR9" s="335">
        <f t="shared" si="12"/>
        <v>2460.5923003199996</v>
      </c>
      <c r="BS9" s="335">
        <f t="shared" si="13"/>
        <v>4219.1226000000006</v>
      </c>
      <c r="BT9" s="335">
        <f t="shared" si="14"/>
        <v>1913.7940113600002</v>
      </c>
      <c r="BU9" s="76" t="str">
        <f t="shared" si="15"/>
        <v>N/A</v>
      </c>
      <c r="BV9" s="116">
        <f t="shared" si="16"/>
        <v>503.24570382984717</v>
      </c>
      <c r="BW9" s="88">
        <f t="shared" si="17"/>
        <v>136.76301564660798</v>
      </c>
      <c r="BX9" s="89">
        <f t="shared" si="18"/>
        <v>17.230176482226408</v>
      </c>
      <c r="BY9" s="89">
        <f t="shared" si="19"/>
        <v>153.99319212883438</v>
      </c>
      <c r="BZ9" s="89">
        <f t="shared" si="20"/>
        <v>301.50576641668425</v>
      </c>
      <c r="CA9" s="89">
        <f t="shared" si="21"/>
        <v>37.985397888506192</v>
      </c>
      <c r="CB9" s="89">
        <f t="shared" si="22"/>
        <v>339.49116430519047</v>
      </c>
      <c r="CC9" s="89">
        <f t="shared" si="23"/>
        <v>175.83816297421021</v>
      </c>
      <c r="CD9" s="89">
        <f t="shared" si="24"/>
        <v>22.153084048576801</v>
      </c>
      <c r="CE9" s="89">
        <f t="shared" si="25"/>
        <v>197.99124702278701</v>
      </c>
      <c r="CF9" s="89">
        <f t="shared" si="26"/>
        <v>387.65027110716539</v>
      </c>
      <c r="CG9" s="89">
        <f t="shared" si="27"/>
        <v>48.838368713793656</v>
      </c>
      <c r="CH9" s="89">
        <f t="shared" si="28"/>
        <v>436.48863982095907</v>
      </c>
      <c r="CI9" s="41">
        <f>IF(Z9&gt;0,((BC9+PV($BY$2,$CB$2,-BF9,0,0))/Z9),0)</f>
        <v>2145.7079660610502</v>
      </c>
      <c r="CJ9" s="41">
        <f>IF(Y9&gt;0,((BD9+PV($BY$2,$CB$2,-BG9,0,0))/Y9),0)</f>
        <v>3625.1499996023986</v>
      </c>
      <c r="CK9" s="41">
        <f>IF(AE9&gt;0,((BC9+PV($BY$2,$CB$2,-BF9,0,0))/AE9),0)</f>
        <v>2264.9139641755523</v>
      </c>
      <c r="CL9" s="41">
        <f>IF(AD9&gt;0,((BD9+PV($BY$2,$CB$2,-BG9,0,0))/AD9),0)</f>
        <v>6162.7549993240764</v>
      </c>
      <c r="CM9" s="359">
        <f t="shared" si="29"/>
        <v>136.76301564660798</v>
      </c>
      <c r="CN9" s="210">
        <f t="shared" si="30"/>
        <v>17.230176482226408</v>
      </c>
      <c r="CO9" s="210">
        <f t="shared" si="51"/>
        <v>153.99319212883438</v>
      </c>
      <c r="CP9" s="210">
        <f t="shared" si="32"/>
        <v>301.50576641668425</v>
      </c>
      <c r="CQ9" s="210">
        <f t="shared" si="33"/>
        <v>37.985397888506192</v>
      </c>
      <c r="CR9" s="210">
        <f t="shared" si="52"/>
        <v>339.49116430519047</v>
      </c>
      <c r="CS9" s="210">
        <f t="shared" si="35"/>
        <v>175.83816297421021</v>
      </c>
      <c r="CT9" s="210">
        <f t="shared" si="36"/>
        <v>22.153084048576801</v>
      </c>
      <c r="CU9" s="210">
        <f t="shared" si="53"/>
        <v>197.99124702278701</v>
      </c>
      <c r="CV9" s="210">
        <f t="shared" si="38"/>
        <v>387.65027110716539</v>
      </c>
      <c r="CW9" s="210">
        <f t="shared" si="39"/>
        <v>48.838368713793656</v>
      </c>
      <c r="CX9" s="210">
        <f t="shared" si="54"/>
        <v>436.48863982095907</v>
      </c>
      <c r="CY9" s="299" t="s">
        <v>319</v>
      </c>
      <c r="CZ9" s="298" t="s">
        <v>56</v>
      </c>
      <c r="DA9" s="298" t="s">
        <v>57</v>
      </c>
      <c r="DB9" s="298" t="s">
        <v>345</v>
      </c>
      <c r="DC9" s="298" t="s">
        <v>57</v>
      </c>
      <c r="DD9" s="371" t="s">
        <v>750</v>
      </c>
      <c r="DE9" s="285" t="s">
        <v>252</v>
      </c>
      <c r="DF9" s="298" t="s">
        <v>56</v>
      </c>
      <c r="DG9" s="298" t="s">
        <v>56</v>
      </c>
      <c r="DH9" s="298" t="s">
        <v>56</v>
      </c>
      <c r="DI9" s="298" t="s">
        <v>56</v>
      </c>
      <c r="DJ9" s="279" t="s">
        <v>379</v>
      </c>
      <c r="DK9" s="280" t="s">
        <v>373</v>
      </c>
      <c r="DL9" s="279" t="s">
        <v>365</v>
      </c>
      <c r="DM9" s="279" t="s">
        <v>379</v>
      </c>
      <c r="DN9" s="280" t="s">
        <v>552</v>
      </c>
      <c r="DO9" s="279" t="s">
        <v>551</v>
      </c>
      <c r="DP9" s="279" t="s">
        <v>79</v>
      </c>
      <c r="DQ9" s="109"/>
      <c r="DR9" s="28"/>
      <c r="DS9" s="28"/>
      <c r="DT9" s="28"/>
      <c r="DU9" s="28"/>
      <c r="DV9" s="28"/>
      <c r="DW9" s="28"/>
      <c r="DX9" s="28"/>
      <c r="DY9" s="28"/>
    </row>
    <row r="10" spans="1:129" ht="267.75" customHeight="1" x14ac:dyDescent="0.2">
      <c r="A10" s="537"/>
      <c r="B10" s="10" t="s">
        <v>245</v>
      </c>
      <c r="C10" s="84"/>
      <c r="D10" s="241">
        <v>104</v>
      </c>
      <c r="E10" s="370" t="s">
        <v>725</v>
      </c>
      <c r="F10" s="280" t="s">
        <v>80</v>
      </c>
      <c r="G10" s="280" t="s">
        <v>76</v>
      </c>
      <c r="H10" s="286" t="s">
        <v>86</v>
      </c>
      <c r="I10" s="285" t="s">
        <v>498</v>
      </c>
      <c r="J10" s="279" t="s">
        <v>81</v>
      </c>
      <c r="K10" s="265" t="s">
        <v>657</v>
      </c>
      <c r="L10" s="280" t="s">
        <v>11</v>
      </c>
      <c r="M10" s="320">
        <v>10000</v>
      </c>
      <c r="N10" s="315" t="s">
        <v>77</v>
      </c>
      <c r="O10" s="11" t="s">
        <v>77</v>
      </c>
      <c r="P10" s="316">
        <f>M10/$P$2</f>
        <v>62.5</v>
      </c>
      <c r="Q10" s="103">
        <f>$T$113</f>
        <v>40</v>
      </c>
      <c r="R10" s="101">
        <f>U97</f>
        <v>1</v>
      </c>
      <c r="S10" s="4">
        <v>58</v>
      </c>
      <c r="T10" s="4">
        <v>98</v>
      </c>
      <c r="U10" s="4">
        <v>25</v>
      </c>
      <c r="V10" s="4">
        <v>75</v>
      </c>
      <c r="W10" s="194">
        <f t="shared" si="42"/>
        <v>0.48916099773242627</v>
      </c>
      <c r="X10" s="51" t="s">
        <v>390</v>
      </c>
      <c r="Y10" s="150">
        <f t="shared" si="0"/>
        <v>706.23119999999994</v>
      </c>
      <c r="Z10" s="150">
        <f t="shared" si="1"/>
        <v>1193.2872</v>
      </c>
      <c r="AA10" s="150">
        <f t="shared" si="43"/>
        <v>320.34647231999998</v>
      </c>
      <c r="AB10" s="150">
        <f t="shared" si="44"/>
        <v>541.27507391999995</v>
      </c>
      <c r="AC10" s="150">
        <f t="shared" si="45"/>
        <v>430.81077311999996</v>
      </c>
      <c r="AD10" s="150">
        <f t="shared" si="2"/>
        <v>7.6102499999999997</v>
      </c>
      <c r="AE10" s="150">
        <f t="shared" si="3"/>
        <v>22.830749999999998</v>
      </c>
      <c r="AF10" s="150">
        <f t="shared" si="46"/>
        <v>3.4520094000000001</v>
      </c>
      <c r="AG10" s="150">
        <f t="shared" si="47"/>
        <v>10.356028199999999</v>
      </c>
      <c r="AH10" s="76">
        <v>800000</v>
      </c>
      <c r="AI10" s="76">
        <v>1000000</v>
      </c>
      <c r="AJ10" s="76">
        <f t="shared" si="55"/>
        <v>900000</v>
      </c>
      <c r="AK10" s="76">
        <f t="shared" si="56"/>
        <v>800000</v>
      </c>
      <c r="AL10" s="76">
        <f t="shared" si="57"/>
        <v>1000000</v>
      </c>
      <c r="AM10" s="76">
        <f t="shared" si="4"/>
        <v>900000</v>
      </c>
      <c r="AN10" s="108">
        <v>0.45</v>
      </c>
      <c r="AO10" s="76">
        <f>$AA$111</f>
        <v>250000</v>
      </c>
      <c r="AP10" s="76">
        <f t="shared" si="58"/>
        <v>1370000</v>
      </c>
      <c r="AQ10" s="76">
        <f t="shared" si="59"/>
        <v>1650000</v>
      </c>
      <c r="AR10" s="76">
        <f t="shared" si="60"/>
        <v>1510000</v>
      </c>
      <c r="AS10" s="76">
        <v>450000</v>
      </c>
      <c r="AT10" s="76">
        <v>550000</v>
      </c>
      <c r="AU10" s="76">
        <f t="shared" ref="AU10:AU45" si="67">(AS10+AT10)/2</f>
        <v>500000</v>
      </c>
      <c r="AV10" s="76">
        <f t="shared" si="62"/>
        <v>450000</v>
      </c>
      <c r="AW10" s="76">
        <f t="shared" si="63"/>
        <v>550000</v>
      </c>
      <c r="AX10" s="76">
        <f t="shared" si="5"/>
        <v>500000</v>
      </c>
      <c r="AY10" s="337">
        <v>0.5</v>
      </c>
      <c r="AZ10" s="51">
        <v>0.1</v>
      </c>
      <c r="BA10" s="51">
        <v>0</v>
      </c>
      <c r="BB10" s="338" t="s">
        <v>303</v>
      </c>
      <c r="BC10" s="76">
        <f t="shared" si="64"/>
        <v>1507000.0000000002</v>
      </c>
      <c r="BD10" s="76">
        <f t="shared" si="64"/>
        <v>1815000.0000000002</v>
      </c>
      <c r="BE10" s="76">
        <f t="shared" si="48"/>
        <v>1661000.0000000002</v>
      </c>
      <c r="BF10" s="76">
        <f>AV10*(1+$BA10)</f>
        <v>450000</v>
      </c>
      <c r="BG10" s="76">
        <f>AW10*(1+$BA10)</f>
        <v>550000</v>
      </c>
      <c r="BH10" s="76">
        <f t="shared" si="6"/>
        <v>500000</v>
      </c>
      <c r="BI10" s="4">
        <v>10</v>
      </c>
      <c r="BJ10" s="76">
        <f>BE10*0.25</f>
        <v>415250.00000000006</v>
      </c>
      <c r="BK10" s="76">
        <f t="shared" si="7"/>
        <v>830500.00000000012</v>
      </c>
      <c r="BL10" s="116">
        <f t="shared" si="8"/>
        <v>411430.83629581385</v>
      </c>
      <c r="BM10" s="4">
        <f t="shared" si="9"/>
        <v>18995.184000000001</v>
      </c>
      <c r="BN10" s="4">
        <f t="shared" si="65"/>
        <v>8616.2154624000013</v>
      </c>
      <c r="BO10" s="4">
        <f t="shared" si="10"/>
        <v>304.40999999999997</v>
      </c>
      <c r="BP10" s="4">
        <f t="shared" si="66"/>
        <v>138.08037599999997</v>
      </c>
      <c r="BQ10" s="335">
        <f t="shared" si="11"/>
        <v>12465.589500000002</v>
      </c>
      <c r="BR10" s="335">
        <f t="shared" si="12"/>
        <v>5654.3913972000009</v>
      </c>
      <c r="BS10" s="335">
        <f t="shared" si="13"/>
        <v>304.40999999999997</v>
      </c>
      <c r="BT10" s="335">
        <f t="shared" si="14"/>
        <v>138.08037599999997</v>
      </c>
      <c r="BU10" s="76" t="str">
        <f t="shared" si="15"/>
        <v>N/A</v>
      </c>
      <c r="BV10" s="116">
        <f t="shared" si="16"/>
        <v>1470.0342251724194</v>
      </c>
      <c r="BW10" s="88">
        <f t="shared" si="17"/>
        <v>109.10296190317577</v>
      </c>
      <c r="BX10" s="89">
        <f t="shared" si="18"/>
        <v>328.03605225777193</v>
      </c>
      <c r="BY10" s="89">
        <f t="shared" si="19"/>
        <v>437.13901416094768</v>
      </c>
      <c r="BZ10" s="89">
        <f t="shared" si="20"/>
        <v>240.52681195585484</v>
      </c>
      <c r="CA10" s="89">
        <f t="shared" si="21"/>
        <v>723.18353672348303</v>
      </c>
      <c r="CB10" s="89">
        <f t="shared" si="22"/>
        <v>963.71034867933781</v>
      </c>
      <c r="CC10" s="89">
        <f t="shared" si="23"/>
        <v>6808.0248227581687</v>
      </c>
      <c r="CD10" s="89">
        <f t="shared" si="24"/>
        <v>20469.449660884969</v>
      </c>
      <c r="CE10" s="89">
        <f t="shared" si="25"/>
        <v>27277.474483643138</v>
      </c>
      <c r="CF10" s="89">
        <f t="shared" si="26"/>
        <v>15008.873066045348</v>
      </c>
      <c r="CG10" s="89">
        <f t="shared" si="27"/>
        <v>45126.652691545358</v>
      </c>
      <c r="CH10" s="89">
        <f t="shared" si="28"/>
        <v>60135.525757590702</v>
      </c>
      <c r="CI10" s="41">
        <f>IF(Z10&gt;0,((BC10+PV($BY$2,$CB$2,-BF10,0,0))/Z10),0)</f>
        <v>5962.5165292504562</v>
      </c>
      <c r="CJ10" s="41">
        <f>IF(Y10&gt;0,((BD10+PV($BY$2,$CB$2,-BG10,0,0))/Y10),0)</f>
        <v>12275.322427552044</v>
      </c>
      <c r="CK10" s="41">
        <f>IF(AE10&gt;0,((BC10+PV($BY$2,$CB$2,-BF10,0,0))/AE10),0)</f>
        <v>311640.86392882385</v>
      </c>
      <c r="CL10" s="41">
        <f>IF(AD10&gt;0,((BD10+PV($BY$2,$CB$2,-BG10,0,0))/AD10),0)</f>
        <v>1139149.9212768297</v>
      </c>
      <c r="CM10" s="359">
        <f t="shared" si="29"/>
        <v>166.25213242388688</v>
      </c>
      <c r="CN10" s="210">
        <f t="shared" si="30"/>
        <v>499.86446058327147</v>
      </c>
      <c r="CO10" s="210">
        <f t="shared" si="51"/>
        <v>666.11659300715837</v>
      </c>
      <c r="CP10" s="210">
        <f t="shared" si="32"/>
        <v>366.51704678987403</v>
      </c>
      <c r="CQ10" s="210">
        <f t="shared" si="33"/>
        <v>1101.9939607214978</v>
      </c>
      <c r="CR10" s="210">
        <f t="shared" si="52"/>
        <v>1468.5110075113719</v>
      </c>
      <c r="CS10" s="210">
        <f t="shared" si="35"/>
        <v>6808.0248227581687</v>
      </c>
      <c r="CT10" s="210">
        <f t="shared" si="36"/>
        <v>20469.449660884969</v>
      </c>
      <c r="CU10" s="210">
        <f t="shared" si="53"/>
        <v>27277.474483643138</v>
      </c>
      <c r="CV10" s="210">
        <f t="shared" si="38"/>
        <v>15008.873066045348</v>
      </c>
      <c r="CW10" s="210">
        <f t="shared" si="39"/>
        <v>45126.652691545358</v>
      </c>
      <c r="CX10" s="210">
        <f t="shared" si="54"/>
        <v>60135.525757590702</v>
      </c>
      <c r="CY10" s="299" t="s">
        <v>320</v>
      </c>
      <c r="CZ10" s="298" t="s">
        <v>56</v>
      </c>
      <c r="DA10" s="298" t="s">
        <v>57</v>
      </c>
      <c r="DB10" s="298" t="s">
        <v>345</v>
      </c>
      <c r="DC10" s="298" t="s">
        <v>56</v>
      </c>
      <c r="DD10" s="371" t="s">
        <v>82</v>
      </c>
      <c r="DE10" s="285" t="s">
        <v>253</v>
      </c>
      <c r="DF10" s="298" t="s">
        <v>56</v>
      </c>
      <c r="DG10" s="298" t="s">
        <v>56</v>
      </c>
      <c r="DH10" s="298" t="s">
        <v>250</v>
      </c>
      <c r="DI10" s="298" t="s">
        <v>56</v>
      </c>
      <c r="DJ10" s="279" t="s">
        <v>379</v>
      </c>
      <c r="DK10" s="280" t="s">
        <v>373</v>
      </c>
      <c r="DL10" s="279" t="s">
        <v>365</v>
      </c>
      <c r="DM10" s="279" t="s">
        <v>379</v>
      </c>
      <c r="DN10" s="280" t="s">
        <v>552</v>
      </c>
      <c r="DO10" s="279" t="s">
        <v>548</v>
      </c>
      <c r="DP10" s="279" t="s">
        <v>83</v>
      </c>
      <c r="DQ10" s="109"/>
      <c r="DR10" s="28"/>
      <c r="DS10" s="28"/>
      <c r="DT10" s="28"/>
      <c r="DU10" s="28"/>
      <c r="DV10" s="28"/>
      <c r="DW10" s="28"/>
      <c r="DX10" s="28"/>
      <c r="DY10" s="28"/>
    </row>
    <row r="11" spans="1:129" ht="178.5" customHeight="1" x14ac:dyDescent="0.2">
      <c r="A11" s="537"/>
      <c r="B11" s="10" t="s">
        <v>362</v>
      </c>
      <c r="C11" s="84"/>
      <c r="D11" s="241">
        <v>105</v>
      </c>
      <c r="E11" s="370" t="s">
        <v>726</v>
      </c>
      <c r="F11" s="280" t="s">
        <v>84</v>
      </c>
      <c r="G11" s="280" t="s">
        <v>85</v>
      </c>
      <c r="H11" s="286" t="s">
        <v>86</v>
      </c>
      <c r="I11" s="285" t="s">
        <v>498</v>
      </c>
      <c r="J11" s="279" t="s">
        <v>467</v>
      </c>
      <c r="K11" s="265" t="s">
        <v>658</v>
      </c>
      <c r="L11" s="280" t="s">
        <v>9</v>
      </c>
      <c r="M11" s="319">
        <f>N11*1200</f>
        <v>1200</v>
      </c>
      <c r="N11" s="314">
        <v>1</v>
      </c>
      <c r="O11" s="11" t="s">
        <v>77</v>
      </c>
      <c r="P11" s="316">
        <f>M11/$P$2</f>
        <v>7.5</v>
      </c>
      <c r="Q11" s="144">
        <f>$Q$100+5</f>
        <v>15</v>
      </c>
      <c r="R11" s="272">
        <f>$R$100</f>
        <v>2</v>
      </c>
      <c r="S11" s="335">
        <v>50</v>
      </c>
      <c r="T11" s="335">
        <v>75</v>
      </c>
      <c r="U11" s="335">
        <v>50</v>
      </c>
      <c r="V11" s="335">
        <v>75</v>
      </c>
      <c r="W11" s="194">
        <f t="shared" si="42"/>
        <v>0.67346938775510201</v>
      </c>
      <c r="X11" s="51" t="s">
        <v>390</v>
      </c>
      <c r="Y11" s="150">
        <f t="shared" si="0"/>
        <v>27.396900000000002</v>
      </c>
      <c r="Z11" s="150">
        <f t="shared" si="1"/>
        <v>41.095349999999996</v>
      </c>
      <c r="AA11" s="150">
        <f t="shared" si="43"/>
        <v>12.427233840000001</v>
      </c>
      <c r="AB11" s="150">
        <f t="shared" si="44"/>
        <v>18.640850759999999</v>
      </c>
      <c r="AC11" s="150">
        <f t="shared" si="45"/>
        <v>15.534042299999999</v>
      </c>
      <c r="AD11" s="150">
        <f t="shared" si="2"/>
        <v>3.6529199999999999</v>
      </c>
      <c r="AE11" s="150">
        <f t="shared" si="3"/>
        <v>5.4793799999999999</v>
      </c>
      <c r="AF11" s="150">
        <f t="shared" si="46"/>
        <v>1.6569645120000001</v>
      </c>
      <c r="AG11" s="150">
        <f t="shared" si="47"/>
        <v>2.4854467680000001</v>
      </c>
      <c r="AH11" s="76">
        <v>25000</v>
      </c>
      <c r="AI11" s="76">
        <v>50000</v>
      </c>
      <c r="AJ11" s="76">
        <f t="shared" si="55"/>
        <v>37500</v>
      </c>
      <c r="AK11" s="76">
        <f t="shared" si="56"/>
        <v>25000</v>
      </c>
      <c r="AL11" s="76">
        <f t="shared" si="57"/>
        <v>50000</v>
      </c>
      <c r="AM11" s="76">
        <f t="shared" si="4"/>
        <v>37500</v>
      </c>
      <c r="AN11" s="108">
        <v>0.6</v>
      </c>
      <c r="AO11" s="76">
        <v>250000</v>
      </c>
      <c r="AP11" s="76">
        <f t="shared" si="58"/>
        <v>285000</v>
      </c>
      <c r="AQ11" s="76">
        <f t="shared" si="59"/>
        <v>320000</v>
      </c>
      <c r="AR11" s="76">
        <f t="shared" si="60"/>
        <v>302500</v>
      </c>
      <c r="AS11" s="76">
        <v>5000</v>
      </c>
      <c r="AT11" s="76">
        <v>15000</v>
      </c>
      <c r="AU11" s="76">
        <f t="shared" si="67"/>
        <v>10000</v>
      </c>
      <c r="AV11" s="76">
        <f t="shared" si="62"/>
        <v>5000</v>
      </c>
      <c r="AW11" s="76">
        <f t="shared" si="63"/>
        <v>15000</v>
      </c>
      <c r="AX11" s="76">
        <f t="shared" si="5"/>
        <v>10000</v>
      </c>
      <c r="AY11" s="337">
        <v>0.5</v>
      </c>
      <c r="AZ11" s="51">
        <v>0.2</v>
      </c>
      <c r="BA11" s="51">
        <v>0.1</v>
      </c>
      <c r="BB11" s="338" t="s">
        <v>468</v>
      </c>
      <c r="BC11" s="76">
        <f t="shared" si="64"/>
        <v>342000</v>
      </c>
      <c r="BD11" s="76">
        <f t="shared" si="64"/>
        <v>384000</v>
      </c>
      <c r="BE11" s="76">
        <f t="shared" si="48"/>
        <v>363000</v>
      </c>
      <c r="BF11" s="76">
        <f>AV11*(1+$AZ11)</f>
        <v>6000</v>
      </c>
      <c r="BG11" s="76">
        <f>AW11*(1+$AZ11)</f>
        <v>18000</v>
      </c>
      <c r="BH11" s="76">
        <f t="shared" si="6"/>
        <v>11000</v>
      </c>
      <c r="BI11" s="4">
        <v>10</v>
      </c>
      <c r="BJ11" s="76">
        <f>BE11*0.25</f>
        <v>90750</v>
      </c>
      <c r="BK11" s="76">
        <f t="shared" si="7"/>
        <v>181500</v>
      </c>
      <c r="BL11" s="116">
        <f t="shared" si="8"/>
        <v>89915.348329548709</v>
      </c>
      <c r="BM11" s="4">
        <f t="shared" si="9"/>
        <v>684.92250000000001</v>
      </c>
      <c r="BN11" s="4">
        <f t="shared" si="65"/>
        <v>310.68084600000003</v>
      </c>
      <c r="BO11" s="4">
        <f t="shared" si="10"/>
        <v>91.323000000000008</v>
      </c>
      <c r="BP11" s="4">
        <f t="shared" si="66"/>
        <v>41.424112800000003</v>
      </c>
      <c r="BQ11" s="335">
        <f t="shared" si="11"/>
        <v>684.92250000000001</v>
      </c>
      <c r="BR11" s="335">
        <f t="shared" si="12"/>
        <v>310.68084600000003</v>
      </c>
      <c r="BS11" s="335">
        <f t="shared" si="13"/>
        <v>91.323000000000008</v>
      </c>
      <c r="BT11" s="335">
        <f t="shared" si="14"/>
        <v>41.424112800000003</v>
      </c>
      <c r="BU11" s="76" t="str">
        <f t="shared" si="15"/>
        <v>N/A</v>
      </c>
      <c r="BV11" s="116">
        <f t="shared" si="16"/>
        <v>2583.5661799528875</v>
      </c>
      <c r="BW11" s="88">
        <f t="shared" si="17"/>
        <v>661.26510419726128</v>
      </c>
      <c r="BX11" s="89">
        <f t="shared" si="18"/>
        <v>200.14573001754189</v>
      </c>
      <c r="BY11" s="89">
        <f t="shared" si="19"/>
        <v>861.41083421480312</v>
      </c>
      <c r="BZ11" s="89">
        <f t="shared" si="20"/>
        <v>1457.8154854436978</v>
      </c>
      <c r="CA11" s="89">
        <f t="shared" si="21"/>
        <v>441.23838187288771</v>
      </c>
      <c r="CB11" s="89">
        <f t="shared" si="22"/>
        <v>1899.0538673165854</v>
      </c>
      <c r="CC11" s="89">
        <f t="shared" si="23"/>
        <v>4959.4882814794591</v>
      </c>
      <c r="CD11" s="89">
        <f t="shared" si="24"/>
        <v>1501.0929751315641</v>
      </c>
      <c r="CE11" s="89">
        <f t="shared" si="25"/>
        <v>6460.5812566110235</v>
      </c>
      <c r="CF11" s="89">
        <f t="shared" si="26"/>
        <v>10933.616140827733</v>
      </c>
      <c r="CG11" s="89">
        <f t="shared" si="27"/>
        <v>3309.2878640466579</v>
      </c>
      <c r="CH11" s="89">
        <f t="shared" si="28"/>
        <v>14242.904004874392</v>
      </c>
      <c r="CI11" s="41" t="e">
        <f>IF(AD11&gt;0,((BC11+PV($BX$2,$CA$2,-BF11,0,0))/AD11),0)</f>
        <v>#VALUE!</v>
      </c>
      <c r="CJ11" s="41" t="e">
        <f>IF(Z11&gt;0,((BD11+PV($BX$2,$CA$2,-BG11,0,0))/Z11),0)</f>
        <v>#VALUE!</v>
      </c>
      <c r="CK11" s="41" t="e">
        <f>IF(L11&gt;0,((BC11+PV($BX$2,$CA$2,-BF11,0,0))/L11),0)</f>
        <v>#VALUE!</v>
      </c>
      <c r="CL11" s="41" t="e">
        <f>IF(AE11&gt;0,((BD11+PV($BX$2,$CA$2,-BG11,0,0))/AE11),0)</f>
        <v>#VALUE!</v>
      </c>
      <c r="CM11" s="359">
        <f t="shared" si="29"/>
        <v>661.26510419726128</v>
      </c>
      <c r="CN11" s="210">
        <f t="shared" si="30"/>
        <v>200.14573001754189</v>
      </c>
      <c r="CO11" s="210">
        <f t="shared" si="51"/>
        <v>861.41083421480312</v>
      </c>
      <c r="CP11" s="210">
        <f t="shared" si="32"/>
        <v>1457.8154854436978</v>
      </c>
      <c r="CQ11" s="210">
        <f t="shared" si="33"/>
        <v>441.23838187288771</v>
      </c>
      <c r="CR11" s="210">
        <f t="shared" si="52"/>
        <v>1899.0538673165854</v>
      </c>
      <c r="CS11" s="210">
        <f t="shared" si="35"/>
        <v>4959.4882814794591</v>
      </c>
      <c r="CT11" s="210">
        <f t="shared" si="36"/>
        <v>1501.0929751315641</v>
      </c>
      <c r="CU11" s="210">
        <f t="shared" si="53"/>
        <v>6460.5812566110235</v>
      </c>
      <c r="CV11" s="210">
        <f t="shared" si="38"/>
        <v>10933.616140827733</v>
      </c>
      <c r="CW11" s="210">
        <f t="shared" si="39"/>
        <v>3309.2878640466579</v>
      </c>
      <c r="CX11" s="210">
        <f t="shared" si="54"/>
        <v>14242.904004874392</v>
      </c>
      <c r="CY11" s="299" t="s">
        <v>320</v>
      </c>
      <c r="CZ11" s="298" t="s">
        <v>57</v>
      </c>
      <c r="DA11" s="298" t="s">
        <v>57</v>
      </c>
      <c r="DB11" s="298" t="s">
        <v>345</v>
      </c>
      <c r="DC11" s="298" t="s">
        <v>56</v>
      </c>
      <c r="DD11" s="285" t="s">
        <v>472</v>
      </c>
      <c r="DE11" s="285" t="s">
        <v>367</v>
      </c>
      <c r="DF11" s="298" t="s">
        <v>56</v>
      </c>
      <c r="DG11" s="298" t="s">
        <v>56</v>
      </c>
      <c r="DH11" s="298" t="s">
        <v>56</v>
      </c>
      <c r="DI11" s="298" t="s">
        <v>56</v>
      </c>
      <c r="DJ11" s="279" t="s">
        <v>379</v>
      </c>
      <c r="DK11" s="280" t="s">
        <v>381</v>
      </c>
      <c r="DL11" s="279" t="s">
        <v>365</v>
      </c>
      <c r="DM11" s="279" t="s">
        <v>379</v>
      </c>
      <c r="DN11" s="280" t="s">
        <v>552</v>
      </c>
      <c r="DO11" s="110" t="s">
        <v>88</v>
      </c>
      <c r="DP11" s="279" t="s">
        <v>89</v>
      </c>
      <c r="DQ11" s="109"/>
      <c r="DR11" s="28"/>
      <c r="DS11" s="28"/>
      <c r="DT11" s="28"/>
      <c r="DU11" s="28"/>
      <c r="DV11" s="28"/>
      <c r="DW11" s="28"/>
      <c r="DX11" s="28"/>
      <c r="DY11" s="28"/>
    </row>
    <row r="12" spans="1:129" ht="220.5" customHeight="1" x14ac:dyDescent="0.2">
      <c r="A12" s="537"/>
      <c r="B12" s="10" t="s">
        <v>458</v>
      </c>
      <c r="C12" s="84"/>
      <c r="D12" s="241">
        <v>106</v>
      </c>
      <c r="E12" s="370" t="s">
        <v>727</v>
      </c>
      <c r="F12" s="280" t="s">
        <v>14</v>
      </c>
      <c r="G12" s="280" t="s">
        <v>384</v>
      </c>
      <c r="H12" s="280" t="s">
        <v>91</v>
      </c>
      <c r="I12" s="285" t="s">
        <v>499</v>
      </c>
      <c r="J12" s="279" t="s">
        <v>357</v>
      </c>
      <c r="K12" s="265" t="s">
        <v>659</v>
      </c>
      <c r="L12" s="280" t="s">
        <v>9</v>
      </c>
      <c r="M12" s="319">
        <f>N12*15000</f>
        <v>15000</v>
      </c>
      <c r="N12" s="314">
        <v>1</v>
      </c>
      <c r="O12" s="11" t="s">
        <v>77</v>
      </c>
      <c r="P12" s="316" t="s">
        <v>77</v>
      </c>
      <c r="Q12" s="101">
        <f>$T$100</f>
        <v>2</v>
      </c>
      <c r="R12" s="101">
        <f>$U$100</f>
        <v>0.3</v>
      </c>
      <c r="S12" s="335">
        <v>25</v>
      </c>
      <c r="T12" s="335">
        <v>40</v>
      </c>
      <c r="U12" s="335">
        <v>25</v>
      </c>
      <c r="V12" s="335">
        <v>40</v>
      </c>
      <c r="W12" s="194">
        <f t="shared" si="42"/>
        <v>0.92163265306122455</v>
      </c>
      <c r="X12" s="51" t="s">
        <v>388</v>
      </c>
      <c r="Y12" s="150">
        <f t="shared" si="0"/>
        <v>22.830749999999998</v>
      </c>
      <c r="Z12" s="150">
        <f t="shared" si="1"/>
        <v>36.529200000000003</v>
      </c>
      <c r="AA12" s="150">
        <f t="shared" si="43"/>
        <v>10.356028199999999</v>
      </c>
      <c r="AB12" s="150">
        <f t="shared" si="44"/>
        <v>16.569645120000001</v>
      </c>
      <c r="AC12" s="150">
        <f t="shared" si="45"/>
        <v>13.462836660000001</v>
      </c>
      <c r="AD12" s="150">
        <f t="shared" si="2"/>
        <v>3.4246124999999994</v>
      </c>
      <c r="AE12" s="150">
        <f t="shared" si="3"/>
        <v>5.479379999999999</v>
      </c>
      <c r="AF12" s="150">
        <f t="shared" si="46"/>
        <v>1.5534042299999997</v>
      </c>
      <c r="AG12" s="150">
        <f t="shared" si="47"/>
        <v>2.4854467679999996</v>
      </c>
      <c r="AH12" s="76">
        <v>25000</v>
      </c>
      <c r="AI12" s="76">
        <v>100000</v>
      </c>
      <c r="AJ12" s="76">
        <f t="shared" si="55"/>
        <v>62500</v>
      </c>
      <c r="AK12" s="76">
        <f t="shared" si="56"/>
        <v>25000</v>
      </c>
      <c r="AL12" s="76">
        <f t="shared" si="57"/>
        <v>100000</v>
      </c>
      <c r="AM12" s="76">
        <f t="shared" si="4"/>
        <v>62500</v>
      </c>
      <c r="AN12" s="108">
        <v>0.6</v>
      </c>
      <c r="AO12" s="76">
        <f>$AA$111</f>
        <v>250000</v>
      </c>
      <c r="AP12" s="76">
        <f t="shared" si="58"/>
        <v>285000</v>
      </c>
      <c r="AQ12" s="76">
        <f t="shared" si="59"/>
        <v>390000</v>
      </c>
      <c r="AR12" s="76">
        <f t="shared" si="60"/>
        <v>337500</v>
      </c>
      <c r="AS12" s="76">
        <v>4000</v>
      </c>
      <c r="AT12" s="76">
        <v>6000</v>
      </c>
      <c r="AU12" s="76">
        <f t="shared" si="67"/>
        <v>5000</v>
      </c>
      <c r="AV12" s="76">
        <f t="shared" si="62"/>
        <v>4000</v>
      </c>
      <c r="AW12" s="76">
        <f t="shared" si="63"/>
        <v>6000</v>
      </c>
      <c r="AX12" s="76">
        <f t="shared" si="5"/>
        <v>5000</v>
      </c>
      <c r="AY12" s="337">
        <v>0.5</v>
      </c>
      <c r="AZ12" s="51">
        <v>0.2</v>
      </c>
      <c r="BA12" s="51">
        <v>0.1</v>
      </c>
      <c r="BB12" s="338" t="s">
        <v>304</v>
      </c>
      <c r="BC12" s="76">
        <f t="shared" si="64"/>
        <v>342000</v>
      </c>
      <c r="BD12" s="76">
        <f t="shared" si="64"/>
        <v>468000</v>
      </c>
      <c r="BE12" s="76">
        <f t="shared" si="48"/>
        <v>405000</v>
      </c>
      <c r="BF12" s="76">
        <f>AV12*(1+$AZ12)</f>
        <v>4800</v>
      </c>
      <c r="BG12" s="76">
        <f>AW12*(1+$AZ12)</f>
        <v>7200</v>
      </c>
      <c r="BH12" s="76">
        <f t="shared" si="6"/>
        <v>5500</v>
      </c>
      <c r="BI12" s="4">
        <v>20</v>
      </c>
      <c r="BJ12" s="76">
        <f>BE12*0.25</f>
        <v>101250</v>
      </c>
      <c r="BK12" s="76">
        <f t="shared" si="7"/>
        <v>101250</v>
      </c>
      <c r="BL12" s="116">
        <f t="shared" si="8"/>
        <v>38160.060140891313</v>
      </c>
      <c r="BM12" s="4">
        <f t="shared" si="9"/>
        <v>593.59950000000003</v>
      </c>
      <c r="BN12" s="4">
        <f t="shared" si="65"/>
        <v>269.25673320000004</v>
      </c>
      <c r="BO12" s="4">
        <f t="shared" si="10"/>
        <v>89.039924999999982</v>
      </c>
      <c r="BP12" s="4">
        <f t="shared" si="66"/>
        <v>40.388509979999995</v>
      </c>
      <c r="BQ12" s="335">
        <f t="shared" si="11"/>
        <v>593.59950000000003</v>
      </c>
      <c r="BR12" s="335">
        <f t="shared" si="12"/>
        <v>269.25673320000004</v>
      </c>
      <c r="BS12" s="335">
        <f t="shared" si="13"/>
        <v>89.039924999999982</v>
      </c>
      <c r="BT12" s="335">
        <f t="shared" si="14"/>
        <v>40.388509979999995</v>
      </c>
      <c r="BU12" s="76" t="str">
        <f t="shared" si="15"/>
        <v>N/A</v>
      </c>
      <c r="BV12" s="116">
        <f t="shared" si="16"/>
        <v>2822.8830075616092</v>
      </c>
      <c r="BW12" s="88">
        <f t="shared" si="17"/>
        <v>746.56407247797756</v>
      </c>
      <c r="BX12" s="89">
        <f t="shared" si="18"/>
        <v>115.4686903947357</v>
      </c>
      <c r="BY12" s="89">
        <f t="shared" si="19"/>
        <v>862.03276287271331</v>
      </c>
      <c r="BZ12" s="89">
        <f t="shared" si="20"/>
        <v>1645.8643573147654</v>
      </c>
      <c r="CA12" s="89">
        <f t="shared" si="21"/>
        <v>254.56060492666597</v>
      </c>
      <c r="CB12" s="89">
        <f t="shared" si="22"/>
        <v>1900.4249622414313</v>
      </c>
      <c r="CC12" s="89">
        <f t="shared" si="23"/>
        <v>4977.0938165198522</v>
      </c>
      <c r="CD12" s="89">
        <f t="shared" si="24"/>
        <v>769.79126929823815</v>
      </c>
      <c r="CE12" s="89">
        <f t="shared" si="25"/>
        <v>5746.8850858180904</v>
      </c>
      <c r="CF12" s="89">
        <f t="shared" si="26"/>
        <v>10972.429048765105</v>
      </c>
      <c r="CG12" s="89">
        <f t="shared" si="27"/>
        <v>1697.070699511107</v>
      </c>
      <c r="CH12" s="89">
        <f t="shared" si="28"/>
        <v>12669.499748276212</v>
      </c>
      <c r="CI12" s="41" t="e">
        <f>IF(AD12&gt;0,((BC12+PV($BX$2,$CA$2,-BF12,0,0))/AD12),0)</f>
        <v>#VALUE!</v>
      </c>
      <c r="CJ12" s="41" t="e">
        <f>IF(Z12&gt;0,((BD12+PV($BX$2,$CA$2,-BG12,0,0))/Z12),0)</f>
        <v>#VALUE!</v>
      </c>
      <c r="CK12" s="41" t="e">
        <f>IF(L12&gt;0,((BC12+PV($BX$2,$CA$2,-BF12,0,0))/L12),0)</f>
        <v>#VALUE!</v>
      </c>
      <c r="CL12" s="41" t="e">
        <f>IF(AE12&gt;0,((BD12+PV($BX$2,$CA$2,-BG12,0,0))/AE12),0)</f>
        <v>#VALUE!</v>
      </c>
      <c r="CM12" s="359">
        <f t="shared" si="29"/>
        <v>746.56407247797756</v>
      </c>
      <c r="CN12" s="210">
        <f t="shared" si="30"/>
        <v>115.4686903947357</v>
      </c>
      <c r="CO12" s="210">
        <f t="shared" si="51"/>
        <v>862.03276287271331</v>
      </c>
      <c r="CP12" s="210">
        <f t="shared" si="32"/>
        <v>1645.8643573147654</v>
      </c>
      <c r="CQ12" s="210">
        <f t="shared" si="33"/>
        <v>254.56060492666597</v>
      </c>
      <c r="CR12" s="210">
        <f t="shared" si="52"/>
        <v>1900.4249622414313</v>
      </c>
      <c r="CS12" s="210">
        <f t="shared" si="35"/>
        <v>4977.0938165198522</v>
      </c>
      <c r="CT12" s="210">
        <f t="shared" si="36"/>
        <v>769.79126929823815</v>
      </c>
      <c r="CU12" s="210">
        <f t="shared" si="53"/>
        <v>5746.8850858180904</v>
      </c>
      <c r="CV12" s="210">
        <f t="shared" si="38"/>
        <v>10972.429048765105</v>
      </c>
      <c r="CW12" s="210">
        <f t="shared" si="39"/>
        <v>1697.070699511107</v>
      </c>
      <c r="CX12" s="210">
        <f t="shared" si="54"/>
        <v>12669.499748276212</v>
      </c>
      <c r="CY12" s="299" t="s">
        <v>122</v>
      </c>
      <c r="CZ12" s="298" t="s">
        <v>57</v>
      </c>
      <c r="DA12" s="298" t="s">
        <v>57</v>
      </c>
      <c r="DB12" s="298" t="s">
        <v>345</v>
      </c>
      <c r="DC12" s="298" t="s">
        <v>56</v>
      </c>
      <c r="DD12" s="285" t="s">
        <v>473</v>
      </c>
      <c r="DE12" s="285" t="s">
        <v>87</v>
      </c>
      <c r="DF12" s="298" t="s">
        <v>56</v>
      </c>
      <c r="DG12" s="298" t="s">
        <v>56</v>
      </c>
      <c r="DH12" s="298" t="s">
        <v>56</v>
      </c>
      <c r="DI12" s="298" t="s">
        <v>56</v>
      </c>
      <c r="DJ12" s="279" t="s">
        <v>374</v>
      </c>
      <c r="DK12" s="83" t="s">
        <v>376</v>
      </c>
      <c r="DL12" s="279" t="s">
        <v>365</v>
      </c>
      <c r="DM12" s="279" t="s">
        <v>374</v>
      </c>
      <c r="DN12" s="83" t="s">
        <v>376</v>
      </c>
      <c r="DO12" s="110" t="s">
        <v>88</v>
      </c>
      <c r="DP12" s="279" t="s">
        <v>89</v>
      </c>
      <c r="DQ12" s="109"/>
      <c r="DR12" s="28"/>
      <c r="DS12" s="28"/>
      <c r="DT12" s="28"/>
      <c r="DU12" s="28"/>
      <c r="DV12" s="28"/>
      <c r="DW12" s="28"/>
      <c r="DX12" s="28"/>
      <c r="DY12" s="28"/>
    </row>
    <row r="13" spans="1:129" ht="220.5" customHeight="1" x14ac:dyDescent="0.2">
      <c r="A13" s="537"/>
      <c r="B13" s="10" t="s">
        <v>454</v>
      </c>
      <c r="C13" s="98"/>
      <c r="D13" s="259">
        <v>107</v>
      </c>
      <c r="E13" s="370" t="s">
        <v>728</v>
      </c>
      <c r="F13" s="280" t="s">
        <v>14</v>
      </c>
      <c r="G13" s="280" t="s">
        <v>116</v>
      </c>
      <c r="H13" s="280" t="s">
        <v>94</v>
      </c>
      <c r="I13" s="285" t="s">
        <v>499</v>
      </c>
      <c r="J13" s="279" t="s">
        <v>118</v>
      </c>
      <c r="K13" s="265" t="s">
        <v>660</v>
      </c>
      <c r="L13" s="280" t="s">
        <v>9</v>
      </c>
      <c r="M13" s="319">
        <f>N13*15000</f>
        <v>15000</v>
      </c>
      <c r="N13" s="314">
        <v>1</v>
      </c>
      <c r="O13" s="11" t="s">
        <v>77</v>
      </c>
      <c r="P13" s="316" t="s">
        <v>77</v>
      </c>
      <c r="Q13" s="101">
        <f t="shared" ref="Q13:Q16" si="68">$T$100</f>
        <v>2</v>
      </c>
      <c r="R13" s="101">
        <f t="shared" ref="R13:R16" si="69">$U$100</f>
        <v>0.3</v>
      </c>
      <c r="S13" s="4">
        <v>25</v>
      </c>
      <c r="T13" s="4">
        <v>40</v>
      </c>
      <c r="U13" s="4">
        <v>1</v>
      </c>
      <c r="V13" s="4">
        <v>8</v>
      </c>
      <c r="W13" s="194">
        <f t="shared" si="42"/>
        <v>0.92163265306122455</v>
      </c>
      <c r="X13" s="51" t="s">
        <v>388</v>
      </c>
      <c r="Y13" s="271">
        <f t="shared" si="0"/>
        <v>22.830749999999998</v>
      </c>
      <c r="Z13" s="271">
        <f t="shared" si="1"/>
        <v>36.529200000000003</v>
      </c>
      <c r="AA13" s="150">
        <f t="shared" si="43"/>
        <v>10.356028199999999</v>
      </c>
      <c r="AB13" s="150">
        <f t="shared" si="44"/>
        <v>16.569645120000001</v>
      </c>
      <c r="AC13" s="150">
        <f t="shared" si="45"/>
        <v>13.462836660000001</v>
      </c>
      <c r="AD13" s="150">
        <f t="shared" si="2"/>
        <v>0.13698449999999998</v>
      </c>
      <c r="AE13" s="150">
        <f t="shared" si="3"/>
        <v>1.0958759999999999</v>
      </c>
      <c r="AF13" s="150">
        <f t="shared" si="46"/>
        <v>6.2136169199999994E-2</v>
      </c>
      <c r="AG13" s="150">
        <f t="shared" si="47"/>
        <v>0.49708935359999995</v>
      </c>
      <c r="AH13" s="76">
        <v>13000</v>
      </c>
      <c r="AI13" s="76">
        <v>18000</v>
      </c>
      <c r="AJ13" s="76">
        <f t="shared" si="55"/>
        <v>15500</v>
      </c>
      <c r="AK13" s="76">
        <f t="shared" si="56"/>
        <v>13000</v>
      </c>
      <c r="AL13" s="76">
        <f t="shared" si="57"/>
        <v>18000</v>
      </c>
      <c r="AM13" s="76">
        <f t="shared" si="4"/>
        <v>15500</v>
      </c>
      <c r="AN13" s="108">
        <v>0.6</v>
      </c>
      <c r="AO13" s="76">
        <v>0</v>
      </c>
      <c r="AP13" s="76">
        <f t="shared" si="58"/>
        <v>18200</v>
      </c>
      <c r="AQ13" s="76">
        <f t="shared" si="59"/>
        <v>25200</v>
      </c>
      <c r="AR13" s="76">
        <f t="shared" ref="AR13" si="70">(AP13+AQ13)/2</f>
        <v>21700</v>
      </c>
      <c r="AS13" s="76">
        <v>750</v>
      </c>
      <c r="AT13" s="76">
        <v>1250</v>
      </c>
      <c r="AU13" s="76">
        <f t="shared" si="67"/>
        <v>1000</v>
      </c>
      <c r="AV13" s="76">
        <f t="shared" si="62"/>
        <v>750</v>
      </c>
      <c r="AW13" s="76">
        <f t="shared" si="63"/>
        <v>1250</v>
      </c>
      <c r="AX13" s="76">
        <f t="shared" si="5"/>
        <v>1000</v>
      </c>
      <c r="AY13" s="337">
        <v>0.75</v>
      </c>
      <c r="AZ13" s="51">
        <v>0.1</v>
      </c>
      <c r="BA13" s="51">
        <v>0.1</v>
      </c>
      <c r="BB13" s="338" t="s">
        <v>455</v>
      </c>
      <c r="BC13" s="76">
        <f t="shared" ref="BC13" si="71">AP13*(1+$AZ13)</f>
        <v>20020</v>
      </c>
      <c r="BD13" s="76">
        <f t="shared" ref="BD13" si="72">AQ13*(1+$AZ13)</f>
        <v>27720.000000000004</v>
      </c>
      <c r="BE13" s="76">
        <f t="shared" si="48"/>
        <v>23870.000000000004</v>
      </c>
      <c r="BF13" s="76">
        <f t="shared" ref="BF13" si="73">AV13*(1+$BA13)</f>
        <v>825.00000000000011</v>
      </c>
      <c r="BG13" s="76">
        <f t="shared" ref="BG13" si="74">AW13*(1+$BA13)</f>
        <v>1375</v>
      </c>
      <c r="BH13" s="76">
        <f t="shared" si="6"/>
        <v>1100</v>
      </c>
      <c r="BI13" s="4">
        <v>20</v>
      </c>
      <c r="BJ13" s="76">
        <f>BE13*0.5</f>
        <v>11935.000000000002</v>
      </c>
      <c r="BK13" s="76">
        <f t="shared" si="7"/>
        <v>11935.000000000002</v>
      </c>
      <c r="BL13" s="116">
        <f t="shared" si="8"/>
        <v>4498.1759780892626</v>
      </c>
      <c r="BM13" s="4">
        <f t="shared" si="9"/>
        <v>593.59950000000003</v>
      </c>
      <c r="BN13" s="4">
        <f t="shared" ref="BN13" si="75">BM13*0.4536</f>
        <v>269.25673320000004</v>
      </c>
      <c r="BO13" s="4">
        <f t="shared" si="10"/>
        <v>12.328605</v>
      </c>
      <c r="BP13" s="4">
        <f t="shared" ref="BP13" si="76">BO13*0.4536</f>
        <v>5.592255228</v>
      </c>
      <c r="BQ13" s="335">
        <f t="shared" si="11"/>
        <v>593.59950000000003</v>
      </c>
      <c r="BR13" s="335">
        <f t="shared" si="12"/>
        <v>269.25673320000004</v>
      </c>
      <c r="BS13" s="335">
        <f t="shared" si="13"/>
        <v>12.328605</v>
      </c>
      <c r="BT13" s="335">
        <f t="shared" si="14"/>
        <v>5.592255228</v>
      </c>
      <c r="BU13" s="76" t="str">
        <f t="shared" si="15"/>
        <v>N/A</v>
      </c>
      <c r="BV13" s="116">
        <f t="shared" si="16"/>
        <v>224.00407976714263</v>
      </c>
      <c r="BW13" s="88">
        <f t="shared" si="17"/>
        <v>47.790094125903522</v>
      </c>
      <c r="BX13" s="89">
        <f t="shared" si="18"/>
        <v>23.093738078947144</v>
      </c>
      <c r="BY13" s="89">
        <f t="shared" si="19"/>
        <v>70.883832204850663</v>
      </c>
      <c r="BZ13" s="89">
        <f t="shared" si="20"/>
        <v>105.35735036574849</v>
      </c>
      <c r="CA13" s="89">
        <f t="shared" si="21"/>
        <v>50.912120985333203</v>
      </c>
      <c r="CB13" s="89">
        <f t="shared" si="22"/>
        <v>156.26947135108168</v>
      </c>
      <c r="CC13" s="89">
        <f t="shared" si="23"/>
        <v>2301.0045319879473</v>
      </c>
      <c r="CD13" s="89">
        <f t="shared" si="24"/>
        <v>1111.9207223196775</v>
      </c>
      <c r="CE13" s="89">
        <f t="shared" si="25"/>
        <v>3412.9252543076245</v>
      </c>
      <c r="CF13" s="89">
        <f t="shared" si="26"/>
        <v>5072.7613139064097</v>
      </c>
      <c r="CG13" s="89">
        <f t="shared" si="27"/>
        <v>2451.3243437382657</v>
      </c>
      <c r="CH13" s="89">
        <f t="shared" si="28"/>
        <v>7524.0856576446749</v>
      </c>
      <c r="CI13" s="41"/>
      <c r="CJ13" s="41"/>
      <c r="CK13" s="41"/>
      <c r="CL13" s="41"/>
      <c r="CM13" s="359">
        <f t="shared" si="29"/>
        <v>47.790094125903522</v>
      </c>
      <c r="CN13" s="210">
        <f t="shared" si="30"/>
        <v>23.093738078947144</v>
      </c>
      <c r="CO13" s="210">
        <f t="shared" si="51"/>
        <v>70.883832204850663</v>
      </c>
      <c r="CP13" s="210">
        <f t="shared" si="32"/>
        <v>105.35735036574849</v>
      </c>
      <c r="CQ13" s="210">
        <f t="shared" si="33"/>
        <v>50.912120985333203</v>
      </c>
      <c r="CR13" s="210">
        <f t="shared" si="52"/>
        <v>156.26947135108168</v>
      </c>
      <c r="CS13" s="210">
        <f t="shared" si="35"/>
        <v>2301.0045319879473</v>
      </c>
      <c r="CT13" s="210">
        <f t="shared" si="36"/>
        <v>1111.9207223196775</v>
      </c>
      <c r="CU13" s="210">
        <f t="shared" si="53"/>
        <v>3412.9252543076245</v>
      </c>
      <c r="CV13" s="210">
        <f t="shared" si="38"/>
        <v>5072.7613139064097</v>
      </c>
      <c r="CW13" s="210">
        <f t="shared" si="39"/>
        <v>2451.3243437382657</v>
      </c>
      <c r="CX13" s="210">
        <f t="shared" si="54"/>
        <v>7524.0856576446749</v>
      </c>
      <c r="CY13" s="299" t="s">
        <v>122</v>
      </c>
      <c r="CZ13" s="298" t="s">
        <v>57</v>
      </c>
      <c r="DA13" s="298" t="s">
        <v>57</v>
      </c>
      <c r="DB13" s="298" t="s">
        <v>347</v>
      </c>
      <c r="DC13" s="298" t="s">
        <v>57</v>
      </c>
      <c r="DD13" s="279" t="s">
        <v>119</v>
      </c>
      <c r="DE13" s="279" t="s">
        <v>120</v>
      </c>
      <c r="DF13" s="298" t="s">
        <v>56</v>
      </c>
      <c r="DG13" s="298" t="s">
        <v>56</v>
      </c>
      <c r="DH13" s="298" t="s">
        <v>57</v>
      </c>
      <c r="DI13" s="298" t="s">
        <v>56</v>
      </c>
      <c r="DJ13" s="279" t="s">
        <v>375</v>
      </c>
      <c r="DK13" s="83" t="s">
        <v>376</v>
      </c>
      <c r="DL13" s="279" t="s">
        <v>365</v>
      </c>
      <c r="DM13" s="279" t="s">
        <v>375</v>
      </c>
      <c r="DN13" s="83" t="s">
        <v>376</v>
      </c>
      <c r="DO13" s="279" t="s">
        <v>546</v>
      </c>
      <c r="DP13" s="279" t="s">
        <v>469</v>
      </c>
      <c r="DQ13" s="111"/>
      <c r="DR13" s="28"/>
      <c r="DS13" s="28"/>
      <c r="DT13" s="28"/>
      <c r="DU13" s="28"/>
      <c r="DV13" s="28"/>
      <c r="DW13" s="28"/>
      <c r="DX13" s="28"/>
      <c r="DY13" s="28"/>
    </row>
    <row r="14" spans="1:129" ht="230.25" customHeight="1" x14ac:dyDescent="0.2">
      <c r="A14" s="537"/>
      <c r="B14" s="10" t="s">
        <v>453</v>
      </c>
      <c r="C14" s="98"/>
      <c r="D14" s="289">
        <v>108</v>
      </c>
      <c r="E14" s="370" t="s">
        <v>729</v>
      </c>
      <c r="F14" s="280" t="s">
        <v>14</v>
      </c>
      <c r="G14" s="280" t="s">
        <v>116</v>
      </c>
      <c r="H14" s="280" t="s">
        <v>94</v>
      </c>
      <c r="I14" s="285" t="s">
        <v>499</v>
      </c>
      <c r="J14" s="279" t="s">
        <v>118</v>
      </c>
      <c r="K14" s="265" t="s">
        <v>661</v>
      </c>
      <c r="L14" s="280" t="s">
        <v>9</v>
      </c>
      <c r="M14" s="319">
        <f>N14*15000</f>
        <v>15000</v>
      </c>
      <c r="N14" s="314">
        <v>1</v>
      </c>
      <c r="O14" s="11" t="s">
        <v>77</v>
      </c>
      <c r="P14" s="316" t="s">
        <v>77</v>
      </c>
      <c r="Q14" s="101">
        <f t="shared" si="68"/>
        <v>2</v>
      </c>
      <c r="R14" s="101">
        <f t="shared" si="69"/>
        <v>0.3</v>
      </c>
      <c r="S14" s="4">
        <v>50</v>
      </c>
      <c r="T14" s="4">
        <v>75</v>
      </c>
      <c r="U14" s="4">
        <v>1</v>
      </c>
      <c r="V14" s="4">
        <v>8</v>
      </c>
      <c r="W14" s="194">
        <f t="shared" si="42"/>
        <v>0.9564625850340136</v>
      </c>
      <c r="X14" s="51" t="s">
        <v>388</v>
      </c>
      <c r="Y14" s="271">
        <f t="shared" si="0"/>
        <v>45.661499999999997</v>
      </c>
      <c r="Z14" s="271">
        <f t="shared" si="1"/>
        <v>68.492249999999999</v>
      </c>
      <c r="AA14" s="150">
        <f t="shared" si="43"/>
        <v>20.712056399999998</v>
      </c>
      <c r="AB14" s="150">
        <f t="shared" si="44"/>
        <v>31.068084599999999</v>
      </c>
      <c r="AC14" s="150">
        <f t="shared" si="45"/>
        <v>25.8900705</v>
      </c>
      <c r="AD14" s="150">
        <f t="shared" si="2"/>
        <v>0.13698449999999998</v>
      </c>
      <c r="AE14" s="150">
        <f t="shared" si="3"/>
        <v>1.0958759999999999</v>
      </c>
      <c r="AF14" s="150">
        <f t="shared" si="46"/>
        <v>6.2136169199999994E-2</v>
      </c>
      <c r="AG14" s="150">
        <f t="shared" si="47"/>
        <v>0.49708935359999995</v>
      </c>
      <c r="AH14" s="76">
        <v>25000</v>
      </c>
      <c r="AI14" s="76">
        <v>35000</v>
      </c>
      <c r="AJ14" s="76">
        <f t="shared" si="55"/>
        <v>30000</v>
      </c>
      <c r="AK14" s="76">
        <f t="shared" si="56"/>
        <v>25000</v>
      </c>
      <c r="AL14" s="76">
        <f t="shared" si="57"/>
        <v>35000</v>
      </c>
      <c r="AM14" s="76">
        <f t="shared" si="4"/>
        <v>30000</v>
      </c>
      <c r="AN14" s="108">
        <v>0.6</v>
      </c>
      <c r="AO14" s="76">
        <f>$AA$111</f>
        <v>250000</v>
      </c>
      <c r="AP14" s="76">
        <f t="shared" si="58"/>
        <v>285000</v>
      </c>
      <c r="AQ14" s="76">
        <f t="shared" si="59"/>
        <v>299000</v>
      </c>
      <c r="AR14" s="76">
        <f t="shared" ref="AR14" si="77">(AP14+AQ14)/2</f>
        <v>292000</v>
      </c>
      <c r="AS14" s="76">
        <v>2000</v>
      </c>
      <c r="AT14" s="76">
        <v>2800</v>
      </c>
      <c r="AU14" s="76">
        <f t="shared" si="67"/>
        <v>2400</v>
      </c>
      <c r="AV14" s="76">
        <f t="shared" si="62"/>
        <v>2000</v>
      </c>
      <c r="AW14" s="76">
        <f t="shared" si="63"/>
        <v>2800</v>
      </c>
      <c r="AX14" s="76">
        <f t="shared" si="5"/>
        <v>2400</v>
      </c>
      <c r="AY14" s="337">
        <v>0.75</v>
      </c>
      <c r="AZ14" s="51">
        <v>0.1</v>
      </c>
      <c r="BA14" s="51">
        <v>0.1</v>
      </c>
      <c r="BB14" s="338" t="s">
        <v>455</v>
      </c>
      <c r="BC14" s="76">
        <f t="shared" ref="BC14:BD16" si="78">AP14*(1+$AZ14)</f>
        <v>313500</v>
      </c>
      <c r="BD14" s="76">
        <f t="shared" si="78"/>
        <v>328900</v>
      </c>
      <c r="BE14" s="76">
        <f t="shared" si="48"/>
        <v>321200</v>
      </c>
      <c r="BF14" s="76">
        <f t="shared" ref="BF14:BG16" si="79">AV14*(1+$BA14)</f>
        <v>2200</v>
      </c>
      <c r="BG14" s="76">
        <f t="shared" si="79"/>
        <v>3080.0000000000005</v>
      </c>
      <c r="BH14" s="76">
        <f t="shared" si="6"/>
        <v>2640</v>
      </c>
      <c r="BI14" s="4">
        <v>20</v>
      </c>
      <c r="BJ14" s="76">
        <f>BE14*0.5</f>
        <v>160600</v>
      </c>
      <c r="BK14" s="76">
        <f t="shared" si="7"/>
        <v>160600</v>
      </c>
      <c r="BL14" s="116">
        <f t="shared" si="8"/>
        <v>60528.450949403894</v>
      </c>
      <c r="BM14" s="4">
        <f t="shared" si="9"/>
        <v>1141.5374999999999</v>
      </c>
      <c r="BN14" s="4">
        <f t="shared" ref="BN14" si="80">BM14*0.4536</f>
        <v>517.80140999999992</v>
      </c>
      <c r="BO14" s="4">
        <f t="shared" si="10"/>
        <v>12.328605</v>
      </c>
      <c r="BP14" s="4">
        <f t="shared" ref="BP14" si="81">BO14*0.4536</f>
        <v>5.592255228</v>
      </c>
      <c r="BQ14" s="335">
        <f t="shared" si="11"/>
        <v>1141.5374999999999</v>
      </c>
      <c r="BR14" s="335">
        <f t="shared" si="12"/>
        <v>517.80140999999992</v>
      </c>
      <c r="BS14" s="335">
        <f t="shared" si="13"/>
        <v>12.328605</v>
      </c>
      <c r="BT14" s="335">
        <f t="shared" si="14"/>
        <v>5.592255228</v>
      </c>
      <c r="BU14" s="76" t="str">
        <f t="shared" si="15"/>
        <v>N/A</v>
      </c>
      <c r="BV14" s="116">
        <f t="shared" si="16"/>
        <v>1097.6598604375988</v>
      </c>
      <c r="BW14" s="88">
        <f t="shared" si="17"/>
        <v>334.39852037222073</v>
      </c>
      <c r="BX14" s="89">
        <f t="shared" si="18"/>
        <v>28.820985122526036</v>
      </c>
      <c r="BY14" s="89">
        <f t="shared" si="19"/>
        <v>363.21950549474678</v>
      </c>
      <c r="BZ14" s="89">
        <f t="shared" si="20"/>
        <v>737.21014191406698</v>
      </c>
      <c r="CA14" s="89">
        <f t="shared" si="21"/>
        <v>63.538326989695854</v>
      </c>
      <c r="CB14" s="89">
        <f t="shared" si="22"/>
        <v>800.74846890376284</v>
      </c>
      <c r="CC14" s="89">
        <f t="shared" si="23"/>
        <v>30962.825960390808</v>
      </c>
      <c r="CD14" s="89">
        <f t="shared" si="24"/>
        <v>2668.6097335672257</v>
      </c>
      <c r="CE14" s="89">
        <f t="shared" si="25"/>
        <v>33631.435693958032</v>
      </c>
      <c r="CF14" s="89">
        <f t="shared" si="26"/>
        <v>68260.198325376565</v>
      </c>
      <c r="CG14" s="89">
        <f t="shared" si="27"/>
        <v>5883.1784249718376</v>
      </c>
      <c r="CH14" s="89">
        <f t="shared" si="28"/>
        <v>74143.376750348398</v>
      </c>
      <c r="CI14" s="41"/>
      <c r="CJ14" s="41"/>
      <c r="CK14" s="41"/>
      <c r="CL14" s="41"/>
      <c r="CM14" s="359">
        <f t="shared" si="29"/>
        <v>334.39852037222073</v>
      </c>
      <c r="CN14" s="210">
        <f t="shared" si="30"/>
        <v>28.820985122526036</v>
      </c>
      <c r="CO14" s="210">
        <f t="shared" si="51"/>
        <v>363.21950549474678</v>
      </c>
      <c r="CP14" s="210">
        <f t="shared" si="32"/>
        <v>737.21014191406698</v>
      </c>
      <c r="CQ14" s="210">
        <f t="shared" si="33"/>
        <v>63.538326989695854</v>
      </c>
      <c r="CR14" s="210">
        <f t="shared" si="52"/>
        <v>800.74846890376284</v>
      </c>
      <c r="CS14" s="210">
        <f t="shared" si="35"/>
        <v>30962.825960390808</v>
      </c>
      <c r="CT14" s="210">
        <f t="shared" si="36"/>
        <v>2668.6097335672257</v>
      </c>
      <c r="CU14" s="210">
        <f t="shared" si="53"/>
        <v>33631.435693958032</v>
      </c>
      <c r="CV14" s="210">
        <f t="shared" si="38"/>
        <v>68260.198325376565</v>
      </c>
      <c r="CW14" s="210">
        <f t="shared" si="39"/>
        <v>5883.1784249718376</v>
      </c>
      <c r="CX14" s="210">
        <f t="shared" si="54"/>
        <v>74143.376750348398</v>
      </c>
      <c r="CY14" s="299" t="s">
        <v>122</v>
      </c>
      <c r="CZ14" s="298" t="s">
        <v>57</v>
      </c>
      <c r="DA14" s="298" t="s">
        <v>57</v>
      </c>
      <c r="DB14" s="298" t="s">
        <v>347</v>
      </c>
      <c r="DC14" s="298" t="s">
        <v>57</v>
      </c>
      <c r="DD14" s="279" t="s">
        <v>456</v>
      </c>
      <c r="DE14" s="279" t="s">
        <v>120</v>
      </c>
      <c r="DF14" s="298" t="s">
        <v>56</v>
      </c>
      <c r="DG14" s="298" t="s">
        <v>56</v>
      </c>
      <c r="DH14" s="298" t="s">
        <v>57</v>
      </c>
      <c r="DI14" s="298" t="s">
        <v>56</v>
      </c>
      <c r="DJ14" s="279" t="s">
        <v>375</v>
      </c>
      <c r="DK14" s="83" t="s">
        <v>376</v>
      </c>
      <c r="DL14" s="279" t="s">
        <v>365</v>
      </c>
      <c r="DM14" s="279" t="s">
        <v>375</v>
      </c>
      <c r="DN14" s="83" t="s">
        <v>376</v>
      </c>
      <c r="DO14" s="279" t="s">
        <v>547</v>
      </c>
      <c r="DP14" s="279" t="s">
        <v>469</v>
      </c>
      <c r="DQ14" s="111"/>
      <c r="DR14" s="28"/>
      <c r="DS14" s="28"/>
      <c r="DT14" s="28"/>
      <c r="DU14" s="28"/>
      <c r="DV14" s="28"/>
      <c r="DW14" s="28"/>
      <c r="DX14" s="28"/>
      <c r="DY14" s="28"/>
    </row>
    <row r="15" spans="1:129" ht="204" x14ac:dyDescent="0.2">
      <c r="A15" s="537"/>
      <c r="B15" s="10" t="s">
        <v>19</v>
      </c>
      <c r="C15" s="84"/>
      <c r="D15" s="241">
        <v>109</v>
      </c>
      <c r="E15" s="370" t="s">
        <v>730</v>
      </c>
      <c r="F15" s="280" t="s">
        <v>363</v>
      </c>
      <c r="G15" s="280" t="s">
        <v>384</v>
      </c>
      <c r="H15" s="280" t="s">
        <v>91</v>
      </c>
      <c r="I15" s="285" t="s">
        <v>499</v>
      </c>
      <c r="J15" s="279" t="s">
        <v>559</v>
      </c>
      <c r="K15" s="265" t="s">
        <v>662</v>
      </c>
      <c r="L15" s="280" t="s">
        <v>9</v>
      </c>
      <c r="M15" s="319">
        <f>N15*15000</f>
        <v>15000</v>
      </c>
      <c r="N15" s="314">
        <v>1</v>
      </c>
      <c r="O15" s="11" t="s">
        <v>77</v>
      </c>
      <c r="P15" s="316" t="s">
        <v>77</v>
      </c>
      <c r="Q15" s="101">
        <f t="shared" si="68"/>
        <v>2</v>
      </c>
      <c r="R15" s="101">
        <f t="shared" si="69"/>
        <v>0.3</v>
      </c>
      <c r="S15" s="4">
        <v>25</v>
      </c>
      <c r="T15" s="4">
        <v>45</v>
      </c>
      <c r="U15" s="4">
        <v>20</v>
      </c>
      <c r="V15" s="4">
        <v>30</v>
      </c>
      <c r="W15" s="194">
        <f t="shared" si="42"/>
        <v>0.92453514739229026</v>
      </c>
      <c r="X15" s="51" t="s">
        <v>388</v>
      </c>
      <c r="Y15" s="271">
        <f t="shared" si="0"/>
        <v>22.830749999999998</v>
      </c>
      <c r="Z15" s="271">
        <f t="shared" si="1"/>
        <v>41.095349999999996</v>
      </c>
      <c r="AA15" s="150">
        <f t="shared" si="43"/>
        <v>10.356028199999999</v>
      </c>
      <c r="AB15" s="150">
        <f t="shared" si="44"/>
        <v>18.640850759999999</v>
      </c>
      <c r="AC15" s="150">
        <f t="shared" si="45"/>
        <v>14.498439479999998</v>
      </c>
      <c r="AD15" s="150">
        <f t="shared" si="2"/>
        <v>2.7396899999999995</v>
      </c>
      <c r="AE15" s="150">
        <f t="shared" si="3"/>
        <v>4.1095349999999993</v>
      </c>
      <c r="AF15" s="150">
        <f t="shared" si="46"/>
        <v>1.2427233839999998</v>
      </c>
      <c r="AG15" s="150">
        <f t="shared" si="47"/>
        <v>1.8640850759999996</v>
      </c>
      <c r="AH15" s="76">
        <v>75000</v>
      </c>
      <c r="AI15" s="76">
        <v>150000</v>
      </c>
      <c r="AJ15" s="76">
        <f t="shared" si="55"/>
        <v>112500</v>
      </c>
      <c r="AK15" s="76">
        <f t="shared" si="56"/>
        <v>75000</v>
      </c>
      <c r="AL15" s="76">
        <f t="shared" si="57"/>
        <v>150000</v>
      </c>
      <c r="AM15" s="76">
        <f t="shared" si="4"/>
        <v>112500</v>
      </c>
      <c r="AN15" s="108">
        <v>0.5</v>
      </c>
      <c r="AO15" s="76">
        <f>$AA$111</f>
        <v>250000</v>
      </c>
      <c r="AP15" s="76">
        <f t="shared" si="58"/>
        <v>355000</v>
      </c>
      <c r="AQ15" s="76">
        <f t="shared" si="59"/>
        <v>460000</v>
      </c>
      <c r="AR15" s="76">
        <f t="shared" si="60"/>
        <v>407500</v>
      </c>
      <c r="AS15" s="76">
        <v>4000</v>
      </c>
      <c r="AT15" s="76">
        <v>6000</v>
      </c>
      <c r="AU15" s="76">
        <f t="shared" si="67"/>
        <v>5000</v>
      </c>
      <c r="AV15" s="76">
        <f t="shared" si="62"/>
        <v>4000</v>
      </c>
      <c r="AW15" s="76">
        <f t="shared" si="63"/>
        <v>6000</v>
      </c>
      <c r="AX15" s="76">
        <f t="shared" si="5"/>
        <v>5000</v>
      </c>
      <c r="AY15" s="337">
        <v>0.75</v>
      </c>
      <c r="AZ15" s="51">
        <v>0.2</v>
      </c>
      <c r="BA15" s="51">
        <v>0.1</v>
      </c>
      <c r="BB15" s="338" t="s">
        <v>304</v>
      </c>
      <c r="BC15" s="76">
        <f t="shared" si="78"/>
        <v>426000</v>
      </c>
      <c r="BD15" s="76">
        <f t="shared" si="78"/>
        <v>552000</v>
      </c>
      <c r="BE15" s="76">
        <f t="shared" si="48"/>
        <v>489000</v>
      </c>
      <c r="BF15" s="76">
        <f t="shared" si="79"/>
        <v>4400</v>
      </c>
      <c r="BG15" s="76">
        <f t="shared" si="79"/>
        <v>6600.0000000000009</v>
      </c>
      <c r="BH15" s="76">
        <f t="shared" si="6"/>
        <v>5500</v>
      </c>
      <c r="BI15" s="4">
        <v>20</v>
      </c>
      <c r="BJ15" s="76">
        <f>BE15*0.5</f>
        <v>244500</v>
      </c>
      <c r="BK15" s="76">
        <f t="shared" si="7"/>
        <v>244500</v>
      </c>
      <c r="BL15" s="116">
        <f t="shared" si="8"/>
        <v>92149.478562448639</v>
      </c>
      <c r="BM15" s="4">
        <f t="shared" si="9"/>
        <v>639.26099999999997</v>
      </c>
      <c r="BN15" s="4">
        <f t="shared" si="65"/>
        <v>289.96878959999998</v>
      </c>
      <c r="BO15" s="4">
        <f t="shared" si="10"/>
        <v>68.492249999999984</v>
      </c>
      <c r="BP15" s="4">
        <f t="shared" si="66"/>
        <v>31.068084599999992</v>
      </c>
      <c r="BQ15" s="335">
        <f t="shared" si="11"/>
        <v>639.26099999999997</v>
      </c>
      <c r="BR15" s="335">
        <f t="shared" si="12"/>
        <v>289.96878959999998</v>
      </c>
      <c r="BS15" s="335">
        <f t="shared" si="13"/>
        <v>68.492249999999984</v>
      </c>
      <c r="BT15" s="335">
        <f t="shared" si="14"/>
        <v>31.068084599999992</v>
      </c>
      <c r="BU15" s="76" t="str">
        <f t="shared" si="15"/>
        <v>N/A</v>
      </c>
      <c r="BV15" s="116">
        <f t="shared" si="16"/>
        <v>3086.2346210793276</v>
      </c>
      <c r="BW15" s="88">
        <f t="shared" si="17"/>
        <v>909.0957817893609</v>
      </c>
      <c r="BX15" s="89">
        <f t="shared" si="18"/>
        <v>107.22092679511174</v>
      </c>
      <c r="BY15" s="89">
        <f t="shared" si="19"/>
        <v>1016.3167085844726</v>
      </c>
      <c r="BZ15" s="89">
        <f t="shared" si="20"/>
        <v>2004.1794131158751</v>
      </c>
      <c r="CA15" s="89">
        <f t="shared" si="21"/>
        <v>236.37770457476131</v>
      </c>
      <c r="CB15" s="89">
        <f t="shared" si="22"/>
        <v>2240.5571176906365</v>
      </c>
      <c r="CC15" s="89">
        <f t="shared" si="23"/>
        <v>8484.8939633673708</v>
      </c>
      <c r="CD15" s="89">
        <f t="shared" si="24"/>
        <v>1000.7286500877096</v>
      </c>
      <c r="CE15" s="89">
        <f t="shared" si="25"/>
        <v>9485.6226134550798</v>
      </c>
      <c r="CF15" s="89">
        <f t="shared" si="26"/>
        <v>18705.67452241484</v>
      </c>
      <c r="CG15" s="89">
        <f t="shared" si="27"/>
        <v>2206.1919093644392</v>
      </c>
      <c r="CH15" s="89">
        <f t="shared" si="28"/>
        <v>20911.866431779279</v>
      </c>
      <c r="CI15" s="41">
        <f t="shared" ref="CI15:CI46" si="82">IF(Z15&gt;0,((BC15+PV($BY$2,$CB$2,-BF15,0,0))/Z15),0)</f>
        <v>11700.441181476152</v>
      </c>
      <c r="CJ15" s="41">
        <f t="shared" ref="CJ15:CJ46" si="83">IF(Y15&gt;0,((BD15+PV($BY$2,$CB$2,-BG15,0,0))/Y15),0)</f>
        <v>27780.541079936662</v>
      </c>
      <c r="CK15" s="41">
        <f t="shared" ref="CK15:CK46" si="84">IF(AE15&gt;0,((BC15+PV($BY$2,$CB$2,-BF15,0,0))/AE15),0)</f>
        <v>117004.41181476154</v>
      </c>
      <c r="CL15" s="41">
        <f t="shared" ref="CL15:CL46" si="85">IF(AD15&gt;0,((BD15+PV($BY$2,$CB$2,-BG15,0,0))/AD15),0)</f>
        <v>231504.50899947222</v>
      </c>
      <c r="CM15" s="359">
        <f t="shared" si="29"/>
        <v>909.0957817893609</v>
      </c>
      <c r="CN15" s="210">
        <f t="shared" si="30"/>
        <v>107.22092679511174</v>
      </c>
      <c r="CO15" s="210">
        <f t="shared" si="51"/>
        <v>1016.3167085844726</v>
      </c>
      <c r="CP15" s="210">
        <f t="shared" si="32"/>
        <v>2004.1794131158751</v>
      </c>
      <c r="CQ15" s="210">
        <f t="shared" si="33"/>
        <v>236.37770457476131</v>
      </c>
      <c r="CR15" s="210">
        <f t="shared" si="52"/>
        <v>2240.5571176906365</v>
      </c>
      <c r="CS15" s="210">
        <f t="shared" si="35"/>
        <v>8484.8939633673708</v>
      </c>
      <c r="CT15" s="210">
        <f t="shared" si="36"/>
        <v>1000.7286500877096</v>
      </c>
      <c r="CU15" s="210">
        <f t="shared" si="53"/>
        <v>9485.6226134550798</v>
      </c>
      <c r="CV15" s="210">
        <f t="shared" si="38"/>
        <v>18705.67452241484</v>
      </c>
      <c r="CW15" s="210">
        <f t="shared" si="39"/>
        <v>2206.1919093644392</v>
      </c>
      <c r="CX15" s="210">
        <f t="shared" si="54"/>
        <v>20911.866431779279</v>
      </c>
      <c r="CY15" s="299" t="s">
        <v>122</v>
      </c>
      <c r="CZ15" s="298" t="s">
        <v>57</v>
      </c>
      <c r="DA15" s="298" t="s">
        <v>57</v>
      </c>
      <c r="DB15" s="298" t="s">
        <v>345</v>
      </c>
      <c r="DC15" s="298" t="s">
        <v>57</v>
      </c>
      <c r="DD15" s="279" t="s">
        <v>254</v>
      </c>
      <c r="DE15" s="279" t="s">
        <v>92</v>
      </c>
      <c r="DF15" s="298" t="s">
        <v>56</v>
      </c>
      <c r="DG15" s="298" t="s">
        <v>56</v>
      </c>
      <c r="DH15" s="298" t="s">
        <v>57</v>
      </c>
      <c r="DI15" s="298" t="s">
        <v>56</v>
      </c>
      <c r="DJ15" s="279" t="s">
        <v>374</v>
      </c>
      <c r="DK15" s="83" t="s">
        <v>376</v>
      </c>
      <c r="DL15" s="279" t="s">
        <v>365</v>
      </c>
      <c r="DM15" s="279" t="s">
        <v>374</v>
      </c>
      <c r="DN15" s="83" t="s">
        <v>376</v>
      </c>
      <c r="DO15" s="330" t="s">
        <v>652</v>
      </c>
      <c r="DP15" s="279" t="s">
        <v>93</v>
      </c>
      <c r="DQ15" s="109"/>
      <c r="DR15" s="28"/>
      <c r="DS15" s="28"/>
      <c r="DT15" s="28"/>
      <c r="DU15" s="28"/>
      <c r="DV15" s="28"/>
      <c r="DW15" s="28"/>
      <c r="DX15" s="28"/>
      <c r="DY15" s="28"/>
    </row>
    <row r="16" spans="1:129" ht="216" customHeight="1" x14ac:dyDescent="0.2">
      <c r="A16" s="538"/>
      <c r="B16" s="10" t="s">
        <v>20</v>
      </c>
      <c r="C16" s="84"/>
      <c r="D16" s="241">
        <v>110</v>
      </c>
      <c r="E16" s="370" t="s">
        <v>731</v>
      </c>
      <c r="F16" s="280" t="s">
        <v>363</v>
      </c>
      <c r="G16" s="280" t="s">
        <v>384</v>
      </c>
      <c r="H16" s="280" t="s">
        <v>94</v>
      </c>
      <c r="I16" s="285" t="s">
        <v>499</v>
      </c>
      <c r="J16" s="279" t="s">
        <v>559</v>
      </c>
      <c r="K16" s="265" t="s">
        <v>663</v>
      </c>
      <c r="L16" s="280" t="s">
        <v>9</v>
      </c>
      <c r="M16" s="319">
        <f>N16*16500</f>
        <v>16500</v>
      </c>
      <c r="N16" s="314">
        <v>1</v>
      </c>
      <c r="O16" s="11" t="s">
        <v>77</v>
      </c>
      <c r="P16" s="316" t="s">
        <v>77</v>
      </c>
      <c r="Q16" s="101">
        <f t="shared" si="68"/>
        <v>2</v>
      </c>
      <c r="R16" s="101">
        <f t="shared" si="69"/>
        <v>0.3</v>
      </c>
      <c r="S16" s="4">
        <v>50</v>
      </c>
      <c r="T16" s="4">
        <v>90</v>
      </c>
      <c r="U16" s="4">
        <v>30</v>
      </c>
      <c r="V16" s="4">
        <v>80</v>
      </c>
      <c r="W16" s="194">
        <f t="shared" si="42"/>
        <v>0.96517006802721084</v>
      </c>
      <c r="X16" s="51" t="s">
        <v>388</v>
      </c>
      <c r="Y16" s="271">
        <f t="shared" si="0"/>
        <v>50.227650000000004</v>
      </c>
      <c r="Z16" s="271">
        <f t="shared" si="1"/>
        <v>90.409770000000009</v>
      </c>
      <c r="AA16" s="150">
        <f t="shared" si="43"/>
        <v>22.78326204</v>
      </c>
      <c r="AB16" s="150">
        <f t="shared" si="44"/>
        <v>41.009871672000003</v>
      </c>
      <c r="AC16" s="150">
        <f t="shared" si="45"/>
        <v>31.896566856</v>
      </c>
      <c r="AD16" s="150">
        <f t="shared" si="2"/>
        <v>4.5204884999999999</v>
      </c>
      <c r="AE16" s="150">
        <f t="shared" si="3"/>
        <v>12.054636000000002</v>
      </c>
      <c r="AF16" s="150">
        <f t="shared" si="46"/>
        <v>2.0504935835999998</v>
      </c>
      <c r="AG16" s="150">
        <f t="shared" si="47"/>
        <v>5.4679828896000009</v>
      </c>
      <c r="AH16" s="76">
        <v>65000</v>
      </c>
      <c r="AI16" s="76">
        <v>75000</v>
      </c>
      <c r="AJ16" s="76">
        <f t="shared" si="55"/>
        <v>70000</v>
      </c>
      <c r="AK16" s="76">
        <f t="shared" si="56"/>
        <v>65000</v>
      </c>
      <c r="AL16" s="76">
        <f t="shared" si="57"/>
        <v>75000</v>
      </c>
      <c r="AM16" s="76">
        <f t="shared" si="4"/>
        <v>70000</v>
      </c>
      <c r="AN16" s="108">
        <v>0.6</v>
      </c>
      <c r="AO16" s="76">
        <f>$AA$111</f>
        <v>250000</v>
      </c>
      <c r="AP16" s="76">
        <f t="shared" si="58"/>
        <v>341000</v>
      </c>
      <c r="AQ16" s="76">
        <f t="shared" si="59"/>
        <v>355000</v>
      </c>
      <c r="AR16" s="76">
        <f t="shared" si="60"/>
        <v>348000</v>
      </c>
      <c r="AS16" s="76">
        <v>4000</v>
      </c>
      <c r="AT16" s="76">
        <v>6000</v>
      </c>
      <c r="AU16" s="76">
        <f t="shared" si="67"/>
        <v>5000</v>
      </c>
      <c r="AV16" s="76">
        <f t="shared" si="62"/>
        <v>4000</v>
      </c>
      <c r="AW16" s="76">
        <f t="shared" si="63"/>
        <v>6000</v>
      </c>
      <c r="AX16" s="76">
        <f t="shared" si="5"/>
        <v>5000</v>
      </c>
      <c r="AY16" s="337">
        <v>0.75</v>
      </c>
      <c r="AZ16" s="51">
        <v>0.1</v>
      </c>
      <c r="BA16" s="51">
        <v>0.1</v>
      </c>
      <c r="BB16" s="338" t="s">
        <v>305</v>
      </c>
      <c r="BC16" s="76">
        <f t="shared" si="78"/>
        <v>375100.00000000006</v>
      </c>
      <c r="BD16" s="76">
        <f t="shared" si="78"/>
        <v>390500.00000000006</v>
      </c>
      <c r="BE16" s="76">
        <f t="shared" si="48"/>
        <v>382800.00000000006</v>
      </c>
      <c r="BF16" s="76">
        <f t="shared" si="79"/>
        <v>4400</v>
      </c>
      <c r="BG16" s="76">
        <f t="shared" si="79"/>
        <v>6600.0000000000009</v>
      </c>
      <c r="BH16" s="76">
        <f t="shared" si="6"/>
        <v>5500</v>
      </c>
      <c r="BI16" s="4">
        <v>20</v>
      </c>
      <c r="BJ16" s="76">
        <f t="shared" ref="BJ16:BJ21" si="86">BE16*0.25</f>
        <v>95700.000000000015</v>
      </c>
      <c r="BK16" s="76">
        <f t="shared" si="7"/>
        <v>95700.000000000015</v>
      </c>
      <c r="BL16" s="116">
        <f t="shared" si="8"/>
        <v>36068.32351094616</v>
      </c>
      <c r="BM16" s="4">
        <f t="shared" si="9"/>
        <v>1406.3742000000002</v>
      </c>
      <c r="BN16" s="4">
        <f t="shared" si="65"/>
        <v>637.93133712000008</v>
      </c>
      <c r="BO16" s="4">
        <f t="shared" si="10"/>
        <v>165.75124500000001</v>
      </c>
      <c r="BP16" s="4">
        <f t="shared" si="66"/>
        <v>75.184764732000005</v>
      </c>
      <c r="BQ16" s="335">
        <f t="shared" si="11"/>
        <v>1406.3742000000002</v>
      </c>
      <c r="BR16" s="335">
        <f t="shared" si="12"/>
        <v>637.93133712000008</v>
      </c>
      <c r="BS16" s="335">
        <f t="shared" si="13"/>
        <v>165.75124500000001</v>
      </c>
      <c r="BT16" s="335">
        <f t="shared" si="14"/>
        <v>75.184764732000005</v>
      </c>
      <c r="BU16" s="76" t="str">
        <f t="shared" si="15"/>
        <v>N/A</v>
      </c>
      <c r="BV16" s="116">
        <f t="shared" si="16"/>
        <v>1135.6178726067192</v>
      </c>
      <c r="BW16" s="88">
        <f t="shared" si="17"/>
        <v>297.83561409968001</v>
      </c>
      <c r="BX16" s="89">
        <f t="shared" si="18"/>
        <v>48.736784906868962</v>
      </c>
      <c r="BY16" s="89">
        <f t="shared" si="19"/>
        <v>346.57239900654895</v>
      </c>
      <c r="BZ16" s="89">
        <f t="shared" si="20"/>
        <v>656.60408752134038</v>
      </c>
      <c r="CA16" s="89">
        <f t="shared" si="21"/>
        <v>107.44441117034603</v>
      </c>
      <c r="CB16" s="89">
        <f t="shared" si="22"/>
        <v>764.0484986916864</v>
      </c>
      <c r="CC16" s="89">
        <f t="shared" si="23"/>
        <v>2527.0900590275883</v>
      </c>
      <c r="CD16" s="89">
        <f t="shared" si="24"/>
        <v>413.5242355734336</v>
      </c>
      <c r="CE16" s="89">
        <f t="shared" si="25"/>
        <v>2940.6142946010218</v>
      </c>
      <c r="CF16" s="89">
        <f t="shared" si="26"/>
        <v>5571.1861971507669</v>
      </c>
      <c r="CG16" s="89">
        <f t="shared" si="27"/>
        <v>911.64954932414821</v>
      </c>
      <c r="CH16" s="89">
        <f t="shared" si="28"/>
        <v>6482.8357464749151</v>
      </c>
      <c r="CI16" s="41">
        <f t="shared" si="82"/>
        <v>4755.3901033834727</v>
      </c>
      <c r="CJ16" s="41">
        <f t="shared" si="83"/>
        <v>9412.1582088902014</v>
      </c>
      <c r="CK16" s="41">
        <f t="shared" si="84"/>
        <v>35665.425775376039</v>
      </c>
      <c r="CL16" s="41">
        <f t="shared" si="85"/>
        <v>104579.53565433559</v>
      </c>
      <c r="CM16" s="359">
        <f t="shared" si="29"/>
        <v>297.83561409968001</v>
      </c>
      <c r="CN16" s="210">
        <f t="shared" si="30"/>
        <v>48.736784906868962</v>
      </c>
      <c r="CO16" s="210">
        <f t="shared" si="51"/>
        <v>346.57239900654895</v>
      </c>
      <c r="CP16" s="210">
        <f t="shared" si="32"/>
        <v>656.60408752134038</v>
      </c>
      <c r="CQ16" s="210">
        <f t="shared" si="33"/>
        <v>107.44441117034603</v>
      </c>
      <c r="CR16" s="210">
        <f t="shared" si="52"/>
        <v>764.0484986916864</v>
      </c>
      <c r="CS16" s="210">
        <f t="shared" si="35"/>
        <v>2527.0900590275883</v>
      </c>
      <c r="CT16" s="210">
        <f t="shared" si="36"/>
        <v>413.5242355734336</v>
      </c>
      <c r="CU16" s="210">
        <f t="shared" si="53"/>
        <v>2940.6142946010218</v>
      </c>
      <c r="CV16" s="210">
        <f t="shared" si="38"/>
        <v>5571.1861971507669</v>
      </c>
      <c r="CW16" s="210">
        <f t="shared" si="39"/>
        <v>911.64954932414821</v>
      </c>
      <c r="CX16" s="210">
        <f t="shared" si="54"/>
        <v>6482.8357464749151</v>
      </c>
      <c r="CY16" s="299" t="s">
        <v>122</v>
      </c>
      <c r="CZ16" s="298" t="s">
        <v>57</v>
      </c>
      <c r="DA16" s="298" t="s">
        <v>57</v>
      </c>
      <c r="DB16" s="298" t="s">
        <v>345</v>
      </c>
      <c r="DC16" s="298" t="s">
        <v>57</v>
      </c>
      <c r="DD16" s="279" t="s">
        <v>255</v>
      </c>
      <c r="DE16" s="279" t="s">
        <v>92</v>
      </c>
      <c r="DF16" s="298" t="s">
        <v>56</v>
      </c>
      <c r="DG16" s="298" t="s">
        <v>56</v>
      </c>
      <c r="DH16" s="298" t="s">
        <v>57</v>
      </c>
      <c r="DI16" s="298" t="s">
        <v>56</v>
      </c>
      <c r="DJ16" s="279" t="s">
        <v>374</v>
      </c>
      <c r="DK16" s="83" t="s">
        <v>376</v>
      </c>
      <c r="DL16" s="279" t="s">
        <v>365</v>
      </c>
      <c r="DM16" s="279" t="s">
        <v>374</v>
      </c>
      <c r="DN16" s="83" t="s">
        <v>376</v>
      </c>
      <c r="DO16" s="279" t="s">
        <v>513</v>
      </c>
      <c r="DP16" s="279" t="s">
        <v>470</v>
      </c>
      <c r="DQ16" s="109"/>
      <c r="DR16" s="28"/>
      <c r="DS16" s="28"/>
      <c r="DT16" s="28"/>
      <c r="DU16" s="28"/>
      <c r="DV16" s="28"/>
      <c r="DW16" s="28"/>
      <c r="DX16" s="28"/>
      <c r="DY16" s="28"/>
    </row>
    <row r="17" spans="1:129" ht="347.25" customHeight="1" x14ac:dyDescent="0.2">
      <c r="A17" s="523" t="s">
        <v>95</v>
      </c>
      <c r="B17" s="12" t="s">
        <v>402</v>
      </c>
      <c r="C17" s="84"/>
      <c r="D17" s="241">
        <v>201</v>
      </c>
      <c r="E17" s="370" t="s">
        <v>732</v>
      </c>
      <c r="F17" s="280" t="s">
        <v>96</v>
      </c>
      <c r="G17" s="280" t="s">
        <v>385</v>
      </c>
      <c r="H17" s="286" t="s">
        <v>86</v>
      </c>
      <c r="I17" s="285" t="s">
        <v>500</v>
      </c>
      <c r="J17" s="279" t="s">
        <v>560</v>
      </c>
      <c r="K17" s="265" t="s">
        <v>664</v>
      </c>
      <c r="L17" s="280" t="s">
        <v>9</v>
      </c>
      <c r="M17" s="321" t="s">
        <v>77</v>
      </c>
      <c r="N17" s="314">
        <v>1</v>
      </c>
      <c r="O17" s="11" t="s">
        <v>77</v>
      </c>
      <c r="P17" s="316" t="s">
        <v>77</v>
      </c>
      <c r="Q17" s="146">
        <f>$Q$103</f>
        <v>0.75</v>
      </c>
      <c r="R17" s="146">
        <f>$R$103</f>
        <v>0.5</v>
      </c>
      <c r="S17" s="4">
        <v>8</v>
      </c>
      <c r="T17" s="4">
        <v>15</v>
      </c>
      <c r="U17" s="335">
        <v>0</v>
      </c>
      <c r="V17" s="335">
        <v>0</v>
      </c>
      <c r="W17" s="194">
        <f t="shared" si="42"/>
        <v>0.96146938775510205</v>
      </c>
      <c r="X17" s="51" t="s">
        <v>77</v>
      </c>
      <c r="Y17" s="271">
        <f>$W$105*N17</f>
        <v>200</v>
      </c>
      <c r="Z17" s="271">
        <f>$X$105*N17</f>
        <v>300</v>
      </c>
      <c r="AA17" s="150">
        <f t="shared" si="43"/>
        <v>90.72</v>
      </c>
      <c r="AB17" s="150">
        <f t="shared" ref="AB17:AB76" si="87">Z17*0.4536</f>
        <v>136.08000000000001</v>
      </c>
      <c r="AC17" s="150">
        <f t="shared" ref="AC17:AC74" si="88">(AA17+AB17)/2</f>
        <v>113.4</v>
      </c>
      <c r="AD17" s="150">
        <v>0</v>
      </c>
      <c r="AE17" s="150">
        <v>0</v>
      </c>
      <c r="AF17" s="150">
        <f t="shared" ref="AF17:AF76" si="89">AD17*0.4536</f>
        <v>0</v>
      </c>
      <c r="AG17" s="150">
        <f t="shared" ref="AG17:AG76" si="90">AE17*0.4536</f>
        <v>0</v>
      </c>
      <c r="AH17" s="76">
        <v>25000</v>
      </c>
      <c r="AI17" s="76">
        <v>50000</v>
      </c>
      <c r="AJ17" s="76">
        <f t="shared" si="55"/>
        <v>37500</v>
      </c>
      <c r="AK17" s="76">
        <f t="shared" si="56"/>
        <v>25000</v>
      </c>
      <c r="AL17" s="76">
        <f t="shared" si="57"/>
        <v>50000</v>
      </c>
      <c r="AM17" s="76">
        <f t="shared" si="4"/>
        <v>37500</v>
      </c>
      <c r="AN17" s="108">
        <v>0.5</v>
      </c>
      <c r="AO17" s="76">
        <v>0</v>
      </c>
      <c r="AP17" s="76">
        <f t="shared" si="58"/>
        <v>35000</v>
      </c>
      <c r="AQ17" s="76">
        <f t="shared" si="59"/>
        <v>70000</v>
      </c>
      <c r="AR17" s="76">
        <f t="shared" ref="AR17:AR18" si="91">(AP17+AQ17)/2</f>
        <v>52500</v>
      </c>
      <c r="AS17" s="76">
        <v>0</v>
      </c>
      <c r="AT17" s="76">
        <v>10000</v>
      </c>
      <c r="AU17" s="76">
        <f t="shared" si="67"/>
        <v>5000</v>
      </c>
      <c r="AV17" s="76">
        <f t="shared" si="62"/>
        <v>0</v>
      </c>
      <c r="AW17" s="76">
        <f t="shared" si="63"/>
        <v>10000</v>
      </c>
      <c r="AX17" s="76">
        <f t="shared" si="5"/>
        <v>5000</v>
      </c>
      <c r="AY17" s="337">
        <v>0.75</v>
      </c>
      <c r="AZ17" s="51">
        <v>0.2</v>
      </c>
      <c r="BA17" s="51">
        <v>0.1</v>
      </c>
      <c r="BB17" s="338" t="s">
        <v>304</v>
      </c>
      <c r="BC17" s="76">
        <f t="shared" ref="BC17:BC18" si="92">AP17*(1+$AZ17)</f>
        <v>42000</v>
      </c>
      <c r="BD17" s="76">
        <f t="shared" ref="BD17:BD18" si="93">AQ17*(1+$AZ17)</f>
        <v>84000</v>
      </c>
      <c r="BE17" s="76">
        <f t="shared" si="48"/>
        <v>63000</v>
      </c>
      <c r="BF17" s="76">
        <f t="shared" ref="BF17:BF18" si="94">AV17*(1+$BA17)</f>
        <v>0</v>
      </c>
      <c r="BG17" s="76">
        <f t="shared" ref="BG17:BG18" si="95">AW17*(1+$BA17)</f>
        <v>11000</v>
      </c>
      <c r="BH17" s="76">
        <f t="shared" si="6"/>
        <v>5500</v>
      </c>
      <c r="BI17" s="4">
        <v>20</v>
      </c>
      <c r="BJ17" s="76">
        <f t="shared" si="86"/>
        <v>15750</v>
      </c>
      <c r="BK17" s="76">
        <f t="shared" si="7"/>
        <v>15750</v>
      </c>
      <c r="BL17" s="116">
        <f t="shared" si="8"/>
        <v>5936.0093552497592</v>
      </c>
      <c r="BM17" s="4">
        <f t="shared" si="9"/>
        <v>5000</v>
      </c>
      <c r="BN17" s="4">
        <f t="shared" ref="BN17:BN18" si="96">BM17*0.4536</f>
        <v>2268</v>
      </c>
      <c r="BO17" s="4">
        <f t="shared" si="10"/>
        <v>0</v>
      </c>
      <c r="BP17" s="4">
        <f t="shared" ref="BP17:BP18" si="97">BO17*0.4536</f>
        <v>0</v>
      </c>
      <c r="BQ17" s="335">
        <f t="shared" si="11"/>
        <v>5000</v>
      </c>
      <c r="BR17" s="335">
        <f t="shared" si="12"/>
        <v>2268</v>
      </c>
      <c r="BS17" s="335">
        <f t="shared" si="13"/>
        <v>0</v>
      </c>
      <c r="BT17" s="335">
        <f t="shared" si="14"/>
        <v>0</v>
      </c>
      <c r="BU17" s="76" t="str">
        <f t="shared" si="15"/>
        <v>N/A</v>
      </c>
      <c r="BV17" s="116">
        <f t="shared" si="16"/>
        <v>93.088005073023808</v>
      </c>
      <c r="BW17" s="88">
        <f t="shared" si="17"/>
        <v>13.787201871049952</v>
      </c>
      <c r="BX17" s="89">
        <f t="shared" si="18"/>
        <v>13.708431376793984</v>
      </c>
      <c r="BY17" s="89">
        <f t="shared" si="19"/>
        <v>27.495633247843934</v>
      </c>
      <c r="BZ17" s="89">
        <f t="shared" si="20"/>
        <v>30.395065853284724</v>
      </c>
      <c r="CA17" s="89">
        <f t="shared" si="21"/>
        <v>30.221409560833298</v>
      </c>
      <c r="CB17" s="89">
        <f t="shared" si="22"/>
        <v>60.616475414118021</v>
      </c>
      <c r="CC17" s="89">
        <f t="shared" si="23"/>
        <v>0</v>
      </c>
      <c r="CD17" s="89">
        <f t="shared" si="24"/>
        <v>0</v>
      </c>
      <c r="CE17" s="89">
        <f t="shared" si="25"/>
        <v>0</v>
      </c>
      <c r="CF17" s="89">
        <f t="shared" si="26"/>
        <v>0</v>
      </c>
      <c r="CG17" s="89">
        <f t="shared" si="27"/>
        <v>0</v>
      </c>
      <c r="CH17" s="89">
        <f t="shared" si="28"/>
        <v>0</v>
      </c>
      <c r="CI17" s="41">
        <f t="shared" si="82"/>
        <v>140</v>
      </c>
      <c r="CJ17" s="41">
        <f t="shared" si="83"/>
        <v>1105.4215688396991</v>
      </c>
      <c r="CK17" s="41">
        <f t="shared" si="84"/>
        <v>0</v>
      </c>
      <c r="CL17" s="41">
        <f t="shared" si="85"/>
        <v>0</v>
      </c>
      <c r="CM17" s="359">
        <f t="shared" si="29"/>
        <v>13.787201871049952</v>
      </c>
      <c r="CN17" s="210">
        <f t="shared" si="30"/>
        <v>13.708431376793984</v>
      </c>
      <c r="CO17" s="210">
        <f t="shared" si="51"/>
        <v>27.495633247843934</v>
      </c>
      <c r="CP17" s="210">
        <f t="shared" si="32"/>
        <v>30.395065853284724</v>
      </c>
      <c r="CQ17" s="210">
        <f t="shared" si="33"/>
        <v>30.221409560833298</v>
      </c>
      <c r="CR17" s="210">
        <f t="shared" si="52"/>
        <v>60.616475414118021</v>
      </c>
      <c r="CS17" s="210">
        <f t="shared" si="35"/>
        <v>0</v>
      </c>
      <c r="CT17" s="210">
        <f t="shared" si="36"/>
        <v>0</v>
      </c>
      <c r="CU17" s="210">
        <f t="shared" si="53"/>
        <v>0</v>
      </c>
      <c r="CV17" s="210">
        <f t="shared" si="38"/>
        <v>0</v>
      </c>
      <c r="CW17" s="210">
        <f t="shared" si="39"/>
        <v>0</v>
      </c>
      <c r="CX17" s="210">
        <f t="shared" si="54"/>
        <v>0</v>
      </c>
      <c r="CY17" s="299" t="s">
        <v>122</v>
      </c>
      <c r="CZ17" s="298" t="s">
        <v>57</v>
      </c>
      <c r="DA17" s="298" t="s">
        <v>57</v>
      </c>
      <c r="DB17" s="298" t="s">
        <v>346</v>
      </c>
      <c r="DC17" s="298" t="s">
        <v>56</v>
      </c>
      <c r="DD17" s="285" t="s">
        <v>405</v>
      </c>
      <c r="DE17" s="285" t="s">
        <v>407</v>
      </c>
      <c r="DF17" s="298" t="s">
        <v>56</v>
      </c>
      <c r="DG17" s="298" t="s">
        <v>56</v>
      </c>
      <c r="DH17" s="298" t="s">
        <v>56</v>
      </c>
      <c r="DI17" s="298" t="s">
        <v>56</v>
      </c>
      <c r="DJ17" s="279" t="s">
        <v>378</v>
      </c>
      <c r="DK17" s="280" t="s">
        <v>373</v>
      </c>
      <c r="DL17" s="279" t="s">
        <v>365</v>
      </c>
      <c r="DM17" s="279" t="s">
        <v>378</v>
      </c>
      <c r="DN17" s="280" t="s">
        <v>552</v>
      </c>
      <c r="DO17" s="279" t="s">
        <v>603</v>
      </c>
      <c r="DP17" s="279" t="s">
        <v>604</v>
      </c>
      <c r="DQ17" s="109"/>
      <c r="DR17" s="28"/>
      <c r="DS17" s="28"/>
      <c r="DT17" s="28"/>
      <c r="DU17" s="28"/>
      <c r="DV17" s="28"/>
      <c r="DW17" s="28"/>
      <c r="DX17" s="28"/>
      <c r="DY17" s="28"/>
    </row>
    <row r="18" spans="1:129" ht="345" customHeight="1" x14ac:dyDescent="0.2">
      <c r="A18" s="524"/>
      <c r="B18" s="12" t="s">
        <v>424</v>
      </c>
      <c r="C18" s="84"/>
      <c r="D18" s="241">
        <v>202</v>
      </c>
      <c r="E18" s="370" t="s">
        <v>733</v>
      </c>
      <c r="F18" s="280" t="s">
        <v>96</v>
      </c>
      <c r="G18" s="280" t="s">
        <v>385</v>
      </c>
      <c r="H18" s="286" t="s">
        <v>86</v>
      </c>
      <c r="I18" s="285" t="s">
        <v>500</v>
      </c>
      <c r="J18" s="279" t="s">
        <v>561</v>
      </c>
      <c r="K18" s="265" t="s">
        <v>665</v>
      </c>
      <c r="L18" s="280" t="s">
        <v>9</v>
      </c>
      <c r="M18" s="321" t="s">
        <v>77</v>
      </c>
      <c r="N18" s="314">
        <v>1</v>
      </c>
      <c r="O18" s="11" t="s">
        <v>77</v>
      </c>
      <c r="P18" s="316" t="s">
        <v>77</v>
      </c>
      <c r="Q18" s="146">
        <f>$Q$103</f>
        <v>0.75</v>
      </c>
      <c r="R18" s="146">
        <f>$R$103</f>
        <v>0.5</v>
      </c>
      <c r="S18" s="4">
        <v>8</v>
      </c>
      <c r="T18" s="4">
        <v>15</v>
      </c>
      <c r="U18" s="335">
        <v>0</v>
      </c>
      <c r="V18" s="335">
        <v>0</v>
      </c>
      <c r="W18" s="194">
        <f t="shared" si="42"/>
        <v>0.96146938775510205</v>
      </c>
      <c r="X18" s="51" t="s">
        <v>77</v>
      </c>
      <c r="Y18" s="271">
        <f>$W$105*N18</f>
        <v>200</v>
      </c>
      <c r="Z18" s="271">
        <f>$X$105*N18</f>
        <v>300</v>
      </c>
      <c r="AA18" s="150">
        <f t="shared" si="43"/>
        <v>90.72</v>
      </c>
      <c r="AB18" s="150">
        <f t="shared" si="87"/>
        <v>136.08000000000001</v>
      </c>
      <c r="AC18" s="150">
        <f t="shared" si="88"/>
        <v>113.4</v>
      </c>
      <c r="AD18" s="150">
        <v>0</v>
      </c>
      <c r="AE18" s="150">
        <v>0</v>
      </c>
      <c r="AF18" s="150">
        <f t="shared" si="89"/>
        <v>0</v>
      </c>
      <c r="AG18" s="150">
        <f t="shared" si="90"/>
        <v>0</v>
      </c>
      <c r="AH18" s="76">
        <v>25000</v>
      </c>
      <c r="AI18" s="76">
        <v>50000</v>
      </c>
      <c r="AJ18" s="76">
        <f t="shared" si="55"/>
        <v>37500</v>
      </c>
      <c r="AK18" s="76">
        <f t="shared" si="56"/>
        <v>25000</v>
      </c>
      <c r="AL18" s="76">
        <f t="shared" si="57"/>
        <v>50000</v>
      </c>
      <c r="AM18" s="76">
        <f t="shared" si="4"/>
        <v>37500</v>
      </c>
      <c r="AN18" s="108">
        <v>0.5</v>
      </c>
      <c r="AO18" s="76">
        <v>0</v>
      </c>
      <c r="AP18" s="76">
        <f t="shared" si="58"/>
        <v>35000</v>
      </c>
      <c r="AQ18" s="76">
        <f t="shared" si="59"/>
        <v>70000</v>
      </c>
      <c r="AR18" s="76">
        <f t="shared" si="91"/>
        <v>52500</v>
      </c>
      <c r="AS18" s="76">
        <v>0</v>
      </c>
      <c r="AT18" s="76">
        <v>10000</v>
      </c>
      <c r="AU18" s="76">
        <f t="shared" si="67"/>
        <v>5000</v>
      </c>
      <c r="AV18" s="76">
        <f t="shared" si="62"/>
        <v>0</v>
      </c>
      <c r="AW18" s="76">
        <f t="shared" si="63"/>
        <v>10000</v>
      </c>
      <c r="AX18" s="76">
        <f t="shared" si="5"/>
        <v>5000</v>
      </c>
      <c r="AY18" s="337">
        <v>0.75</v>
      </c>
      <c r="AZ18" s="51">
        <v>0.2</v>
      </c>
      <c r="BA18" s="51">
        <v>0.1</v>
      </c>
      <c r="BB18" s="338" t="s">
        <v>304</v>
      </c>
      <c r="BC18" s="76">
        <f t="shared" si="92"/>
        <v>42000</v>
      </c>
      <c r="BD18" s="76">
        <f t="shared" si="93"/>
        <v>84000</v>
      </c>
      <c r="BE18" s="76">
        <f t="shared" si="48"/>
        <v>63000</v>
      </c>
      <c r="BF18" s="76">
        <f t="shared" si="94"/>
        <v>0</v>
      </c>
      <c r="BG18" s="76">
        <f t="shared" si="95"/>
        <v>11000</v>
      </c>
      <c r="BH18" s="76">
        <f t="shared" si="6"/>
        <v>5500</v>
      </c>
      <c r="BI18" s="4">
        <v>20</v>
      </c>
      <c r="BJ18" s="76">
        <f t="shared" si="86"/>
        <v>15750</v>
      </c>
      <c r="BK18" s="76">
        <f t="shared" si="7"/>
        <v>15750</v>
      </c>
      <c r="BL18" s="116">
        <f t="shared" si="8"/>
        <v>5936.0093552497592</v>
      </c>
      <c r="BM18" s="4">
        <f t="shared" si="9"/>
        <v>5000</v>
      </c>
      <c r="BN18" s="4">
        <f t="shared" si="96"/>
        <v>2268</v>
      </c>
      <c r="BO18" s="4">
        <f t="shared" si="10"/>
        <v>0</v>
      </c>
      <c r="BP18" s="4">
        <f t="shared" si="97"/>
        <v>0</v>
      </c>
      <c r="BQ18" s="335">
        <f t="shared" si="11"/>
        <v>5000</v>
      </c>
      <c r="BR18" s="335">
        <f t="shared" si="12"/>
        <v>2268</v>
      </c>
      <c r="BS18" s="335">
        <f t="shared" si="13"/>
        <v>0</v>
      </c>
      <c r="BT18" s="335">
        <f t="shared" si="14"/>
        <v>0</v>
      </c>
      <c r="BU18" s="76" t="str">
        <f t="shared" si="15"/>
        <v>N/A</v>
      </c>
      <c r="BV18" s="116">
        <f t="shared" si="16"/>
        <v>93.088005073023808</v>
      </c>
      <c r="BW18" s="88">
        <f t="shared" si="17"/>
        <v>13.787201871049952</v>
      </c>
      <c r="BX18" s="89">
        <f t="shared" si="18"/>
        <v>13.708431376793984</v>
      </c>
      <c r="BY18" s="89">
        <f t="shared" si="19"/>
        <v>27.495633247843934</v>
      </c>
      <c r="BZ18" s="89">
        <f t="shared" si="20"/>
        <v>30.395065853284724</v>
      </c>
      <c r="CA18" s="89">
        <f t="shared" si="21"/>
        <v>30.221409560833298</v>
      </c>
      <c r="CB18" s="89">
        <f t="shared" si="22"/>
        <v>60.616475414118021</v>
      </c>
      <c r="CC18" s="89">
        <f t="shared" si="23"/>
        <v>0</v>
      </c>
      <c r="CD18" s="89">
        <f t="shared" si="24"/>
        <v>0</v>
      </c>
      <c r="CE18" s="89">
        <f t="shared" si="25"/>
        <v>0</v>
      </c>
      <c r="CF18" s="89">
        <f t="shared" si="26"/>
        <v>0</v>
      </c>
      <c r="CG18" s="89">
        <f t="shared" si="27"/>
        <v>0</v>
      </c>
      <c r="CH18" s="89">
        <f t="shared" si="28"/>
        <v>0</v>
      </c>
      <c r="CI18" s="41">
        <f t="shared" si="82"/>
        <v>140</v>
      </c>
      <c r="CJ18" s="41">
        <f t="shared" si="83"/>
        <v>1105.4215688396991</v>
      </c>
      <c r="CK18" s="41">
        <f t="shared" si="84"/>
        <v>0</v>
      </c>
      <c r="CL18" s="41">
        <f t="shared" si="85"/>
        <v>0</v>
      </c>
      <c r="CM18" s="359">
        <f t="shared" si="29"/>
        <v>13.787201871049952</v>
      </c>
      <c r="CN18" s="210">
        <f t="shared" si="30"/>
        <v>13.708431376793984</v>
      </c>
      <c r="CO18" s="210">
        <f t="shared" si="51"/>
        <v>27.495633247843934</v>
      </c>
      <c r="CP18" s="210">
        <f t="shared" si="32"/>
        <v>30.395065853284724</v>
      </c>
      <c r="CQ18" s="210">
        <f t="shared" si="33"/>
        <v>30.221409560833298</v>
      </c>
      <c r="CR18" s="210">
        <f t="shared" si="52"/>
        <v>60.616475414118021</v>
      </c>
      <c r="CS18" s="210">
        <f t="shared" si="35"/>
        <v>0</v>
      </c>
      <c r="CT18" s="210">
        <f t="shared" si="36"/>
        <v>0</v>
      </c>
      <c r="CU18" s="210">
        <f t="shared" si="53"/>
        <v>0</v>
      </c>
      <c r="CV18" s="210">
        <f t="shared" si="38"/>
        <v>0</v>
      </c>
      <c r="CW18" s="210">
        <f t="shared" si="39"/>
        <v>0</v>
      </c>
      <c r="CX18" s="210">
        <f t="shared" si="54"/>
        <v>0</v>
      </c>
      <c r="CY18" s="299" t="s">
        <v>122</v>
      </c>
      <c r="CZ18" s="298" t="s">
        <v>57</v>
      </c>
      <c r="DA18" s="298" t="s">
        <v>57</v>
      </c>
      <c r="DB18" s="298" t="s">
        <v>346</v>
      </c>
      <c r="DC18" s="298" t="s">
        <v>56</v>
      </c>
      <c r="DD18" s="285" t="s">
        <v>404</v>
      </c>
      <c r="DE18" s="285" t="s">
        <v>407</v>
      </c>
      <c r="DF18" s="298" t="s">
        <v>56</v>
      </c>
      <c r="DG18" s="298" t="s">
        <v>56</v>
      </c>
      <c r="DH18" s="298" t="s">
        <v>56</v>
      </c>
      <c r="DI18" s="298" t="s">
        <v>56</v>
      </c>
      <c r="DJ18" s="279" t="s">
        <v>378</v>
      </c>
      <c r="DK18" s="280" t="s">
        <v>373</v>
      </c>
      <c r="DL18" s="279" t="s">
        <v>365</v>
      </c>
      <c r="DM18" s="279" t="s">
        <v>378</v>
      </c>
      <c r="DN18" s="280" t="s">
        <v>552</v>
      </c>
      <c r="DO18" s="279" t="s">
        <v>605</v>
      </c>
      <c r="DP18" s="279" t="s">
        <v>606</v>
      </c>
      <c r="DQ18" s="109"/>
      <c r="DR18" s="28"/>
      <c r="DS18" s="28"/>
      <c r="DT18" s="28"/>
      <c r="DU18" s="28"/>
      <c r="DV18" s="28"/>
      <c r="DW18" s="28"/>
      <c r="DX18" s="28"/>
      <c r="DY18" s="28"/>
    </row>
    <row r="19" spans="1:129" ht="296.25" customHeight="1" x14ac:dyDescent="0.2">
      <c r="A19" s="524"/>
      <c r="B19" s="12" t="s">
        <v>401</v>
      </c>
      <c r="C19" s="84"/>
      <c r="D19" s="241">
        <v>203</v>
      </c>
      <c r="E19" s="370" t="s">
        <v>734</v>
      </c>
      <c r="F19" s="280" t="s">
        <v>96</v>
      </c>
      <c r="G19" s="280" t="s">
        <v>385</v>
      </c>
      <c r="H19" s="286" t="s">
        <v>86</v>
      </c>
      <c r="I19" s="285" t="s">
        <v>500</v>
      </c>
      <c r="J19" s="279" t="s">
        <v>403</v>
      </c>
      <c r="K19" s="265" t="s">
        <v>666</v>
      </c>
      <c r="L19" s="280" t="s">
        <v>9</v>
      </c>
      <c r="M19" s="321" t="s">
        <v>77</v>
      </c>
      <c r="N19" s="314">
        <v>1</v>
      </c>
      <c r="O19" s="11" t="s">
        <v>77</v>
      </c>
      <c r="P19" s="316" t="s">
        <v>77</v>
      </c>
      <c r="Q19" s="146">
        <f>$Q$103</f>
        <v>0.75</v>
      </c>
      <c r="R19" s="146">
        <f>$R$103</f>
        <v>0.5</v>
      </c>
      <c r="S19" s="4">
        <v>8</v>
      </c>
      <c r="T19" s="4">
        <v>15</v>
      </c>
      <c r="U19" s="335">
        <v>0</v>
      </c>
      <c r="V19" s="335">
        <v>0</v>
      </c>
      <c r="W19" s="194">
        <f t="shared" si="42"/>
        <v>0.96146938775510205</v>
      </c>
      <c r="X19" s="51" t="s">
        <v>77</v>
      </c>
      <c r="Y19" s="271">
        <f>$W$105*N19</f>
        <v>200</v>
      </c>
      <c r="Z19" s="271">
        <f>$X$105*N19</f>
        <v>300</v>
      </c>
      <c r="AA19" s="150">
        <f t="shared" si="43"/>
        <v>90.72</v>
      </c>
      <c r="AB19" s="150">
        <f t="shared" si="87"/>
        <v>136.08000000000001</v>
      </c>
      <c r="AC19" s="150">
        <f t="shared" si="88"/>
        <v>113.4</v>
      </c>
      <c r="AD19" s="150">
        <v>0</v>
      </c>
      <c r="AE19" s="150">
        <v>0</v>
      </c>
      <c r="AF19" s="150">
        <f t="shared" si="89"/>
        <v>0</v>
      </c>
      <c r="AG19" s="150">
        <f t="shared" si="90"/>
        <v>0</v>
      </c>
      <c r="AH19" s="76">
        <v>25000</v>
      </c>
      <c r="AI19" s="76">
        <v>50000</v>
      </c>
      <c r="AJ19" s="76">
        <f t="shared" si="55"/>
        <v>37500</v>
      </c>
      <c r="AK19" s="76">
        <f t="shared" si="56"/>
        <v>25000</v>
      </c>
      <c r="AL19" s="76">
        <f t="shared" si="57"/>
        <v>50000</v>
      </c>
      <c r="AM19" s="76">
        <f t="shared" si="4"/>
        <v>37500</v>
      </c>
      <c r="AN19" s="108">
        <v>0.5</v>
      </c>
      <c r="AO19" s="76">
        <v>0</v>
      </c>
      <c r="AP19" s="76">
        <f t="shared" si="58"/>
        <v>35000</v>
      </c>
      <c r="AQ19" s="76">
        <f t="shared" si="59"/>
        <v>70000</v>
      </c>
      <c r="AR19" s="76">
        <f t="shared" si="60"/>
        <v>52500</v>
      </c>
      <c r="AS19" s="76">
        <v>0</v>
      </c>
      <c r="AT19" s="76">
        <v>10000</v>
      </c>
      <c r="AU19" s="76">
        <f t="shared" si="67"/>
        <v>5000</v>
      </c>
      <c r="AV19" s="76">
        <f t="shared" si="62"/>
        <v>0</v>
      </c>
      <c r="AW19" s="76">
        <f t="shared" si="63"/>
        <v>10000</v>
      </c>
      <c r="AX19" s="76">
        <f t="shared" si="5"/>
        <v>5000</v>
      </c>
      <c r="AY19" s="337">
        <v>0.75</v>
      </c>
      <c r="AZ19" s="51">
        <v>0.2</v>
      </c>
      <c r="BA19" s="51">
        <v>0.1</v>
      </c>
      <c r="BB19" s="338" t="s">
        <v>304</v>
      </c>
      <c r="BC19" s="76">
        <f>AP19*(1+$AZ19)</f>
        <v>42000</v>
      </c>
      <c r="BD19" s="76">
        <f>AQ19*(1+$AZ19)</f>
        <v>84000</v>
      </c>
      <c r="BE19" s="76">
        <f t="shared" si="48"/>
        <v>63000</v>
      </c>
      <c r="BF19" s="76">
        <f>AV19*(1+$BA19)</f>
        <v>0</v>
      </c>
      <c r="BG19" s="76">
        <f>AW19*(1+$BA19)</f>
        <v>11000</v>
      </c>
      <c r="BH19" s="76">
        <f t="shared" si="6"/>
        <v>5500</v>
      </c>
      <c r="BI19" s="4">
        <v>20</v>
      </c>
      <c r="BJ19" s="76">
        <f t="shared" si="86"/>
        <v>15750</v>
      </c>
      <c r="BK19" s="76">
        <f t="shared" si="7"/>
        <v>15750</v>
      </c>
      <c r="BL19" s="116">
        <f t="shared" si="8"/>
        <v>5936.0093552497592</v>
      </c>
      <c r="BM19" s="4">
        <f t="shared" si="9"/>
        <v>5000</v>
      </c>
      <c r="BN19" s="4">
        <f t="shared" si="65"/>
        <v>2268</v>
      </c>
      <c r="BO19" s="4">
        <f t="shared" si="10"/>
        <v>0</v>
      </c>
      <c r="BP19" s="4">
        <f t="shared" si="66"/>
        <v>0</v>
      </c>
      <c r="BQ19" s="335">
        <f t="shared" si="11"/>
        <v>5000</v>
      </c>
      <c r="BR19" s="335">
        <f t="shared" si="12"/>
        <v>2268</v>
      </c>
      <c r="BS19" s="335">
        <f t="shared" si="13"/>
        <v>0</v>
      </c>
      <c r="BT19" s="335">
        <f t="shared" si="14"/>
        <v>0</v>
      </c>
      <c r="BU19" s="76" t="str">
        <f t="shared" si="15"/>
        <v>N/A</v>
      </c>
      <c r="BV19" s="116">
        <f t="shared" si="16"/>
        <v>93.088005073023808</v>
      </c>
      <c r="BW19" s="88">
        <f t="shared" si="17"/>
        <v>13.787201871049952</v>
      </c>
      <c r="BX19" s="89">
        <f t="shared" si="18"/>
        <v>13.708431376793984</v>
      </c>
      <c r="BY19" s="89">
        <f t="shared" si="19"/>
        <v>27.495633247843934</v>
      </c>
      <c r="BZ19" s="89">
        <f t="shared" si="20"/>
        <v>30.395065853284724</v>
      </c>
      <c r="CA19" s="89">
        <f t="shared" si="21"/>
        <v>30.221409560833298</v>
      </c>
      <c r="CB19" s="89">
        <f t="shared" si="22"/>
        <v>60.616475414118021</v>
      </c>
      <c r="CC19" s="89">
        <f t="shared" si="23"/>
        <v>0</v>
      </c>
      <c r="CD19" s="89">
        <f t="shared" si="24"/>
        <v>0</v>
      </c>
      <c r="CE19" s="89">
        <f t="shared" si="25"/>
        <v>0</v>
      </c>
      <c r="CF19" s="89">
        <f t="shared" si="26"/>
        <v>0</v>
      </c>
      <c r="CG19" s="89">
        <f t="shared" si="27"/>
        <v>0</v>
      </c>
      <c r="CH19" s="89">
        <f t="shared" si="28"/>
        <v>0</v>
      </c>
      <c r="CI19" s="41">
        <f t="shared" si="82"/>
        <v>140</v>
      </c>
      <c r="CJ19" s="41">
        <f t="shared" si="83"/>
        <v>1105.4215688396991</v>
      </c>
      <c r="CK19" s="41">
        <f t="shared" si="84"/>
        <v>0</v>
      </c>
      <c r="CL19" s="41">
        <f t="shared" si="85"/>
        <v>0</v>
      </c>
      <c r="CM19" s="359">
        <f t="shared" si="29"/>
        <v>13.787201871049952</v>
      </c>
      <c r="CN19" s="210">
        <f t="shared" si="30"/>
        <v>13.708431376793984</v>
      </c>
      <c r="CO19" s="210">
        <f t="shared" si="51"/>
        <v>27.495633247843934</v>
      </c>
      <c r="CP19" s="210">
        <f t="shared" si="32"/>
        <v>30.395065853284724</v>
      </c>
      <c r="CQ19" s="210">
        <f t="shared" si="33"/>
        <v>30.221409560833298</v>
      </c>
      <c r="CR19" s="210">
        <f t="shared" si="52"/>
        <v>60.616475414118021</v>
      </c>
      <c r="CS19" s="210">
        <f t="shared" si="35"/>
        <v>0</v>
      </c>
      <c r="CT19" s="210">
        <f t="shared" si="36"/>
        <v>0</v>
      </c>
      <c r="CU19" s="210">
        <f t="shared" si="53"/>
        <v>0</v>
      </c>
      <c r="CV19" s="210">
        <f t="shared" si="38"/>
        <v>0</v>
      </c>
      <c r="CW19" s="210">
        <f t="shared" si="39"/>
        <v>0</v>
      </c>
      <c r="CX19" s="210">
        <f t="shared" si="54"/>
        <v>0</v>
      </c>
      <c r="CY19" s="299" t="s">
        <v>122</v>
      </c>
      <c r="CZ19" s="298" t="s">
        <v>57</v>
      </c>
      <c r="DA19" s="298" t="s">
        <v>57</v>
      </c>
      <c r="DB19" s="298" t="s">
        <v>346</v>
      </c>
      <c r="DC19" s="298" t="s">
        <v>56</v>
      </c>
      <c r="DD19" s="285" t="s">
        <v>406</v>
      </c>
      <c r="DE19" s="285" t="s">
        <v>475</v>
      </c>
      <c r="DF19" s="298" t="s">
        <v>56</v>
      </c>
      <c r="DG19" s="298" t="s">
        <v>56</v>
      </c>
      <c r="DH19" s="298" t="s">
        <v>56</v>
      </c>
      <c r="DI19" s="298" t="s">
        <v>56</v>
      </c>
      <c r="DJ19" s="279" t="s">
        <v>378</v>
      </c>
      <c r="DK19" s="280" t="s">
        <v>373</v>
      </c>
      <c r="DL19" s="279" t="s">
        <v>365</v>
      </c>
      <c r="DM19" s="279" t="s">
        <v>378</v>
      </c>
      <c r="DN19" s="280" t="s">
        <v>552</v>
      </c>
      <c r="DO19" s="279" t="s">
        <v>603</v>
      </c>
      <c r="DP19" s="279" t="s">
        <v>476</v>
      </c>
      <c r="DQ19" s="109"/>
      <c r="DR19" s="28"/>
      <c r="DS19" s="28"/>
      <c r="DT19" s="28"/>
      <c r="DU19" s="28"/>
      <c r="DV19" s="28"/>
      <c r="DW19" s="28"/>
      <c r="DX19" s="28"/>
      <c r="DY19" s="28"/>
    </row>
    <row r="20" spans="1:129" ht="189" customHeight="1" x14ac:dyDescent="0.2">
      <c r="A20" s="524"/>
      <c r="B20" s="12" t="s">
        <v>21</v>
      </c>
      <c r="C20" s="84"/>
      <c r="D20" s="241">
        <v>204</v>
      </c>
      <c r="E20" s="370" t="s">
        <v>735</v>
      </c>
      <c r="F20" s="280" t="s">
        <v>98</v>
      </c>
      <c r="G20" s="280" t="s">
        <v>386</v>
      </c>
      <c r="H20" s="286" t="s">
        <v>86</v>
      </c>
      <c r="I20" s="285" t="s">
        <v>502</v>
      </c>
      <c r="J20" s="279" t="s">
        <v>99</v>
      </c>
      <c r="K20" s="265" t="s">
        <v>687</v>
      </c>
      <c r="L20" s="280" t="s">
        <v>9</v>
      </c>
      <c r="M20" s="322">
        <f>N20*10000</f>
        <v>10000</v>
      </c>
      <c r="N20" s="314">
        <v>1</v>
      </c>
      <c r="O20" s="11" t="s">
        <v>77</v>
      </c>
      <c r="P20" s="316" t="s">
        <v>77</v>
      </c>
      <c r="Q20" s="144">
        <f>$Q$100</f>
        <v>10</v>
      </c>
      <c r="R20" s="101">
        <f>$R$100</f>
        <v>2</v>
      </c>
      <c r="S20" s="4">
        <v>50</v>
      </c>
      <c r="T20" s="4">
        <v>90</v>
      </c>
      <c r="U20" s="4">
        <v>20</v>
      </c>
      <c r="V20" s="4">
        <v>60</v>
      </c>
      <c r="W20" s="194">
        <f t="shared" si="42"/>
        <v>0.82585034013605441</v>
      </c>
      <c r="X20" s="51" t="s">
        <v>387</v>
      </c>
      <c r="Y20" s="271">
        <f t="shared" ref="Y20:Y36" si="98">((($Q20)*($S20/100))*(8.34*($M20/1000000)))*365</f>
        <v>152.20500000000001</v>
      </c>
      <c r="Z20" s="271">
        <f t="shared" ref="Z20:Z36" si="99">((($Q20)*($T20/100))*(8.34*($M20/1000000)))*365</f>
        <v>273.96899999999999</v>
      </c>
      <c r="AA20" s="150">
        <f t="shared" si="43"/>
        <v>69.040188000000001</v>
      </c>
      <c r="AB20" s="150">
        <f t="shared" si="87"/>
        <v>124.2723384</v>
      </c>
      <c r="AC20" s="150">
        <f t="shared" si="88"/>
        <v>96.656263199999998</v>
      </c>
      <c r="AD20" s="150">
        <f t="shared" ref="AD20:AD36" si="100">((($R20)*($U20/100))*(8.34*($M20/1000000)))*365</f>
        <v>12.176400000000001</v>
      </c>
      <c r="AE20" s="150">
        <f t="shared" ref="AE20:AE36" si="101">((($R20)*($V20/100))*(8.34*($M20/1000000)))*365</f>
        <v>36.529200000000003</v>
      </c>
      <c r="AF20" s="150">
        <f t="shared" si="89"/>
        <v>5.5232150400000002</v>
      </c>
      <c r="AG20" s="150">
        <f t="shared" si="90"/>
        <v>16.569645120000001</v>
      </c>
      <c r="AH20" s="76">
        <v>10000</v>
      </c>
      <c r="AI20" s="76">
        <v>20000</v>
      </c>
      <c r="AJ20" s="76">
        <f t="shared" si="55"/>
        <v>15000</v>
      </c>
      <c r="AK20" s="76">
        <f t="shared" si="56"/>
        <v>10000</v>
      </c>
      <c r="AL20" s="76">
        <f t="shared" si="57"/>
        <v>20000</v>
      </c>
      <c r="AM20" s="76">
        <f t="shared" si="4"/>
        <v>15000</v>
      </c>
      <c r="AN20" s="108">
        <v>0.4</v>
      </c>
      <c r="AO20" s="76">
        <f>$AA$111</f>
        <v>250000</v>
      </c>
      <c r="AP20" s="76">
        <f t="shared" si="58"/>
        <v>264000</v>
      </c>
      <c r="AQ20" s="76">
        <f t="shared" si="59"/>
        <v>278000</v>
      </c>
      <c r="AR20" s="76">
        <f t="shared" si="60"/>
        <v>271000</v>
      </c>
      <c r="AS20" s="76">
        <v>5000</v>
      </c>
      <c r="AT20" s="76">
        <v>7500</v>
      </c>
      <c r="AU20" s="76">
        <f t="shared" si="67"/>
        <v>6250</v>
      </c>
      <c r="AV20" s="76">
        <f t="shared" si="62"/>
        <v>5000</v>
      </c>
      <c r="AW20" s="76">
        <f t="shared" si="63"/>
        <v>7500</v>
      </c>
      <c r="AX20" s="76">
        <f t="shared" si="5"/>
        <v>6250</v>
      </c>
      <c r="AY20" s="337">
        <v>0.75</v>
      </c>
      <c r="AZ20" s="51">
        <v>0.2</v>
      </c>
      <c r="BA20" s="51">
        <v>0.1</v>
      </c>
      <c r="BB20" s="338" t="s">
        <v>304</v>
      </c>
      <c r="BC20" s="76">
        <f>AP20*(1+$AZ20)</f>
        <v>316800</v>
      </c>
      <c r="BD20" s="76">
        <f>AQ20*(1+$AZ20)</f>
        <v>333600</v>
      </c>
      <c r="BE20" s="76">
        <f t="shared" si="48"/>
        <v>325200</v>
      </c>
      <c r="BF20" s="76">
        <f>AV20*(1+$BA20)</f>
        <v>5500</v>
      </c>
      <c r="BG20" s="76">
        <f>AW20*(1+$BA20)</f>
        <v>8250</v>
      </c>
      <c r="BH20" s="76">
        <f t="shared" si="6"/>
        <v>6875.0000000000009</v>
      </c>
      <c r="BI20" s="4">
        <v>20</v>
      </c>
      <c r="BJ20" s="76">
        <f t="shared" si="86"/>
        <v>81300</v>
      </c>
      <c r="BK20" s="76">
        <f t="shared" si="7"/>
        <v>81300</v>
      </c>
      <c r="BL20" s="116">
        <f t="shared" si="8"/>
        <v>30641.114957574948</v>
      </c>
      <c r="BM20" s="4">
        <f t="shared" si="9"/>
        <v>4261.74</v>
      </c>
      <c r="BN20" s="4">
        <f t="shared" si="65"/>
        <v>1933.125264</v>
      </c>
      <c r="BO20" s="4">
        <f t="shared" si="10"/>
        <v>487.05600000000004</v>
      </c>
      <c r="BP20" s="4">
        <f t="shared" si="66"/>
        <v>220.92860160000001</v>
      </c>
      <c r="BQ20" s="335">
        <f t="shared" si="11"/>
        <v>4261.74</v>
      </c>
      <c r="BR20" s="335">
        <f t="shared" si="12"/>
        <v>1933.125264</v>
      </c>
      <c r="BS20" s="335">
        <f t="shared" si="13"/>
        <v>487.05600000000004</v>
      </c>
      <c r="BT20" s="335">
        <f t="shared" si="14"/>
        <v>220.92860160000001</v>
      </c>
      <c r="BU20" s="76" t="str">
        <f t="shared" si="15"/>
        <v>N/A</v>
      </c>
      <c r="BV20" s="116">
        <f t="shared" si="16"/>
        <v>341.15242372693979</v>
      </c>
      <c r="BW20" s="88">
        <f t="shared" si="17"/>
        <v>83.496673883806835</v>
      </c>
      <c r="BX20" s="89">
        <f t="shared" si="18"/>
        <v>20.103923774083452</v>
      </c>
      <c r="BY20" s="89">
        <f t="shared" si="19"/>
        <v>103.60059765789029</v>
      </c>
      <c r="BZ20" s="89">
        <f t="shared" si="20"/>
        <v>184.07555970856885</v>
      </c>
      <c r="CA20" s="89">
        <f t="shared" si="21"/>
        <v>44.320819607767753</v>
      </c>
      <c r="CB20" s="89">
        <f t="shared" si="22"/>
        <v>228.39637931633661</v>
      </c>
      <c r="CC20" s="89">
        <f t="shared" si="23"/>
        <v>730.59589648330973</v>
      </c>
      <c r="CD20" s="89">
        <f t="shared" si="24"/>
        <v>175.90933302323018</v>
      </c>
      <c r="CE20" s="89">
        <f t="shared" si="25"/>
        <v>906.50522950653988</v>
      </c>
      <c r="CF20" s="89">
        <f t="shared" si="26"/>
        <v>1610.6611474499775</v>
      </c>
      <c r="CG20" s="89">
        <f t="shared" si="27"/>
        <v>387.80717156796777</v>
      </c>
      <c r="CH20" s="89">
        <f t="shared" si="28"/>
        <v>1998.4683190179453</v>
      </c>
      <c r="CI20" s="41">
        <f t="shared" si="82"/>
        <v>1406.5173683298838</v>
      </c>
      <c r="CJ20" s="41">
        <f t="shared" si="83"/>
        <v>2867.272660727012</v>
      </c>
      <c r="CK20" s="41">
        <f t="shared" si="84"/>
        <v>10548.880262474127</v>
      </c>
      <c r="CL20" s="41">
        <f t="shared" si="85"/>
        <v>35840.90825908765</v>
      </c>
      <c r="CM20" s="359">
        <f t="shared" si="29"/>
        <v>83.496673883806835</v>
      </c>
      <c r="CN20" s="210">
        <f t="shared" si="30"/>
        <v>20.103923774083452</v>
      </c>
      <c r="CO20" s="210">
        <f t="shared" si="51"/>
        <v>103.60059765789029</v>
      </c>
      <c r="CP20" s="210">
        <f t="shared" si="32"/>
        <v>184.07555970856885</v>
      </c>
      <c r="CQ20" s="210">
        <f t="shared" si="33"/>
        <v>44.320819607767753</v>
      </c>
      <c r="CR20" s="210">
        <f t="shared" si="52"/>
        <v>228.39637931633661</v>
      </c>
      <c r="CS20" s="210">
        <f t="shared" si="35"/>
        <v>730.59589648330973</v>
      </c>
      <c r="CT20" s="210">
        <f t="shared" si="36"/>
        <v>175.90933302323018</v>
      </c>
      <c r="CU20" s="210">
        <f t="shared" si="53"/>
        <v>906.50522950653988</v>
      </c>
      <c r="CV20" s="210">
        <f t="shared" si="38"/>
        <v>1610.6611474499775</v>
      </c>
      <c r="CW20" s="210">
        <f t="shared" si="39"/>
        <v>387.80717156796777</v>
      </c>
      <c r="CX20" s="210">
        <f t="shared" si="54"/>
        <v>1998.4683190179453</v>
      </c>
      <c r="CY20" s="299" t="s">
        <v>122</v>
      </c>
      <c r="CZ20" s="298" t="s">
        <v>57</v>
      </c>
      <c r="DA20" s="298" t="s">
        <v>57</v>
      </c>
      <c r="DB20" s="298" t="s">
        <v>345</v>
      </c>
      <c r="DC20" s="298" t="s">
        <v>56</v>
      </c>
      <c r="DD20" s="285" t="s">
        <v>289</v>
      </c>
      <c r="DE20" s="279" t="s">
        <v>100</v>
      </c>
      <c r="DF20" s="298" t="s">
        <v>56</v>
      </c>
      <c r="DG20" s="298" t="s">
        <v>56</v>
      </c>
      <c r="DH20" s="298" t="s">
        <v>56</v>
      </c>
      <c r="DI20" s="298" t="s">
        <v>56</v>
      </c>
      <c r="DJ20" s="279" t="s">
        <v>379</v>
      </c>
      <c r="DK20" s="280" t="s">
        <v>373</v>
      </c>
      <c r="DL20" s="279" t="s">
        <v>365</v>
      </c>
      <c r="DM20" s="279" t="s">
        <v>379</v>
      </c>
      <c r="DN20" s="280" t="s">
        <v>552</v>
      </c>
      <c r="DO20" s="110" t="s">
        <v>550</v>
      </c>
      <c r="DP20" s="279" t="s">
        <v>101</v>
      </c>
      <c r="DQ20" s="109"/>
      <c r="DR20" s="28"/>
      <c r="DS20" s="28"/>
      <c r="DT20" s="28"/>
      <c r="DU20" s="28"/>
      <c r="DV20" s="28"/>
      <c r="DW20" s="28"/>
      <c r="DX20" s="28"/>
      <c r="DY20" s="28"/>
    </row>
    <row r="21" spans="1:129" ht="322.5" customHeight="1" x14ac:dyDescent="0.2">
      <c r="A21" s="524"/>
      <c r="B21" s="12" t="s">
        <v>637</v>
      </c>
      <c r="C21" s="84"/>
      <c r="D21" s="241">
        <v>205</v>
      </c>
      <c r="E21" s="370" t="s">
        <v>736</v>
      </c>
      <c r="F21" s="280" t="s">
        <v>98</v>
      </c>
      <c r="G21" s="280" t="s">
        <v>97</v>
      </c>
      <c r="H21" s="286" t="s">
        <v>12</v>
      </c>
      <c r="I21" s="285" t="s">
        <v>501</v>
      </c>
      <c r="J21" s="279" t="s">
        <v>477</v>
      </c>
      <c r="K21" s="265" t="s">
        <v>667</v>
      </c>
      <c r="L21" s="280" t="s">
        <v>10</v>
      </c>
      <c r="M21" s="321">
        <f>O21*449</f>
        <v>449</v>
      </c>
      <c r="N21" s="315" t="s">
        <v>77</v>
      </c>
      <c r="O21" s="313">
        <v>1</v>
      </c>
      <c r="P21" s="316" t="s">
        <v>77</v>
      </c>
      <c r="Q21" s="144">
        <f>$T$103</f>
        <v>4</v>
      </c>
      <c r="R21" s="272">
        <f>$U$103</f>
        <v>1</v>
      </c>
      <c r="S21" s="4">
        <v>75</v>
      </c>
      <c r="T21" s="4">
        <v>95</v>
      </c>
      <c r="U21" s="4">
        <v>50</v>
      </c>
      <c r="V21" s="4">
        <v>95</v>
      </c>
      <c r="W21" s="194">
        <f t="shared" si="42"/>
        <v>0.96517006802721084</v>
      </c>
      <c r="X21" s="51" t="s">
        <v>387</v>
      </c>
      <c r="Y21" s="271">
        <f t="shared" si="98"/>
        <v>4.1004027000000001</v>
      </c>
      <c r="Z21" s="271">
        <f t="shared" si="99"/>
        <v>5.1938434199999994</v>
      </c>
      <c r="AA21" s="150">
        <f t="shared" si="43"/>
        <v>1.8599426647200001</v>
      </c>
      <c r="AB21" s="150">
        <f t="shared" ref="AB21:AB28" si="102">Z21*0.4536</f>
        <v>2.3559273753119996</v>
      </c>
      <c r="AC21" s="150">
        <f t="shared" ref="AC21:AC28" si="103">(AA21+AB21)/2</f>
        <v>2.1079350200159999</v>
      </c>
      <c r="AD21" s="150">
        <f t="shared" si="100"/>
        <v>0.68340044999999994</v>
      </c>
      <c r="AE21" s="150">
        <f t="shared" si="101"/>
        <v>1.2984608549999999</v>
      </c>
      <c r="AF21" s="150">
        <f t="shared" ref="AF21:AF28" si="104">AD21*0.4536</f>
        <v>0.30999044411999999</v>
      </c>
      <c r="AG21" s="150">
        <f t="shared" ref="AG21:AG28" si="105">AE21*0.4536</f>
        <v>0.5889818438279999</v>
      </c>
      <c r="AH21" s="76"/>
      <c r="AI21" s="76"/>
      <c r="AJ21" s="116">
        <v>153</v>
      </c>
      <c r="AK21" s="76"/>
      <c r="AL21" s="76"/>
      <c r="AM21" s="76">
        <f t="shared" si="4"/>
        <v>153</v>
      </c>
      <c r="AN21" s="108">
        <v>0.3</v>
      </c>
      <c r="AO21" s="76">
        <v>0</v>
      </c>
      <c r="AP21" s="76"/>
      <c r="AQ21" s="76"/>
      <c r="AR21" s="76">
        <f>(AM21*(1+$AN$2))+AO21</f>
        <v>214.2</v>
      </c>
      <c r="AS21" s="76"/>
      <c r="AT21" s="76"/>
      <c r="AU21" s="116">
        <v>118</v>
      </c>
      <c r="AV21" s="76"/>
      <c r="AW21" s="76"/>
      <c r="AX21" s="76">
        <f t="shared" si="5"/>
        <v>118</v>
      </c>
      <c r="AY21" s="337">
        <v>0.75</v>
      </c>
      <c r="AZ21" s="51">
        <v>0.2</v>
      </c>
      <c r="BA21" s="51">
        <v>0.1</v>
      </c>
      <c r="BB21" s="338" t="s">
        <v>304</v>
      </c>
      <c r="BC21" s="76"/>
      <c r="BD21" s="76"/>
      <c r="BE21" s="76">
        <f t="shared" si="48"/>
        <v>257.03999999999996</v>
      </c>
      <c r="BF21" s="76"/>
      <c r="BG21" s="76"/>
      <c r="BH21" s="76">
        <f t="shared" si="6"/>
        <v>129.80000000000001</v>
      </c>
      <c r="BI21" s="4">
        <v>20</v>
      </c>
      <c r="BJ21" s="76">
        <f t="shared" si="86"/>
        <v>64.259999999999991</v>
      </c>
      <c r="BK21" s="76">
        <f t="shared" si="7"/>
        <v>64.259999999999991</v>
      </c>
      <c r="BL21" s="116">
        <f t="shared" si="8"/>
        <v>24.218918169419016</v>
      </c>
      <c r="BM21" s="4">
        <f t="shared" si="9"/>
        <v>92.942461199999997</v>
      </c>
      <c r="BN21" s="4">
        <f t="shared" ref="BN21:BN22" si="106">BM21*0.4536</f>
        <v>42.158700400320001</v>
      </c>
      <c r="BO21" s="4">
        <f t="shared" si="10"/>
        <v>19.818613049999996</v>
      </c>
      <c r="BP21" s="4">
        <f t="shared" ref="BP21:BP22" si="107">BO21*0.4536</f>
        <v>8.9897228794799986</v>
      </c>
      <c r="BQ21" s="335">
        <f t="shared" si="11"/>
        <v>92.942461199999997</v>
      </c>
      <c r="BR21" s="335">
        <f t="shared" si="12"/>
        <v>42.158700400320001</v>
      </c>
      <c r="BS21" s="335">
        <f t="shared" si="13"/>
        <v>19.818613049999996</v>
      </c>
      <c r="BT21" s="335">
        <f t="shared" si="14"/>
        <v>8.9897228794799986</v>
      </c>
      <c r="BU21" s="76" t="str">
        <f t="shared" si="15"/>
        <v>N/A</v>
      </c>
      <c r="BV21" s="116">
        <f t="shared" si="16"/>
        <v>71.363306769297026</v>
      </c>
      <c r="BW21" s="88">
        <f t="shared" si="17"/>
        <v>3.0261617191757666</v>
      </c>
      <c r="BX21" s="89">
        <f t="shared" si="18"/>
        <v>17.404261535326011</v>
      </c>
      <c r="BY21" s="89">
        <f t="shared" si="19"/>
        <v>20.430423254501779</v>
      </c>
      <c r="BZ21" s="89">
        <f t="shared" si="20"/>
        <v>6.6714323614986029</v>
      </c>
      <c r="CA21" s="89">
        <f t="shared" si="21"/>
        <v>38.369183278937413</v>
      </c>
      <c r="CB21" s="89">
        <f t="shared" si="22"/>
        <v>45.040615640436016</v>
      </c>
      <c r="CC21" s="89">
        <f t="shared" si="23"/>
        <v>14.191654958893253</v>
      </c>
      <c r="CD21" s="89">
        <f t="shared" si="24"/>
        <v>81.619985131184066</v>
      </c>
      <c r="CE21" s="89">
        <f t="shared" si="25"/>
        <v>95.811640090077319</v>
      </c>
      <c r="CF21" s="89">
        <f t="shared" si="26"/>
        <v>31.286717281510697</v>
      </c>
      <c r="CG21" s="89">
        <f t="shared" si="27"/>
        <v>179.93823882536171</v>
      </c>
      <c r="CH21" s="89">
        <f t="shared" si="28"/>
        <v>211.22495610687241</v>
      </c>
      <c r="CI21" s="41">
        <f t="shared" si="82"/>
        <v>0</v>
      </c>
      <c r="CJ21" s="41">
        <f t="shared" si="83"/>
        <v>0</v>
      </c>
      <c r="CK21" s="41">
        <f t="shared" si="84"/>
        <v>0</v>
      </c>
      <c r="CL21" s="41">
        <f t="shared" si="85"/>
        <v>0</v>
      </c>
      <c r="CM21" s="359">
        <f t="shared" si="29"/>
        <v>3.0261617191757666</v>
      </c>
      <c r="CN21" s="210">
        <f t="shared" si="30"/>
        <v>17.404261535326011</v>
      </c>
      <c r="CO21" s="210">
        <f t="shared" si="51"/>
        <v>20.430423254501779</v>
      </c>
      <c r="CP21" s="210">
        <f t="shared" si="32"/>
        <v>6.6714323614986029</v>
      </c>
      <c r="CQ21" s="210">
        <f t="shared" si="33"/>
        <v>38.369183278937413</v>
      </c>
      <c r="CR21" s="210">
        <f t="shared" si="52"/>
        <v>45.040615640436016</v>
      </c>
      <c r="CS21" s="210">
        <f t="shared" si="35"/>
        <v>14.191654958893253</v>
      </c>
      <c r="CT21" s="210">
        <f t="shared" si="36"/>
        <v>81.619985131184066</v>
      </c>
      <c r="CU21" s="210">
        <f t="shared" si="53"/>
        <v>95.811640090077319</v>
      </c>
      <c r="CV21" s="210">
        <f t="shared" si="38"/>
        <v>31.286717281510697</v>
      </c>
      <c r="CW21" s="210">
        <f t="shared" si="39"/>
        <v>179.93823882536171</v>
      </c>
      <c r="CX21" s="210">
        <f t="shared" si="54"/>
        <v>211.22495610687241</v>
      </c>
      <c r="CY21" s="299" t="s">
        <v>122</v>
      </c>
      <c r="CZ21" s="298" t="s">
        <v>57</v>
      </c>
      <c r="DA21" s="298" t="s">
        <v>57</v>
      </c>
      <c r="DB21" s="298" t="s">
        <v>345</v>
      </c>
      <c r="DC21" s="298" t="s">
        <v>56</v>
      </c>
      <c r="DD21" s="279" t="s">
        <v>256</v>
      </c>
      <c r="DE21" s="279" t="s">
        <v>478</v>
      </c>
      <c r="DF21" s="298" t="s">
        <v>57</v>
      </c>
      <c r="DG21" s="298" t="s">
        <v>57</v>
      </c>
      <c r="DH21" s="298" t="s">
        <v>56</v>
      </c>
      <c r="DI21" s="298" t="s">
        <v>56</v>
      </c>
      <c r="DJ21" s="279" t="s">
        <v>479</v>
      </c>
      <c r="DK21" s="280" t="s">
        <v>373</v>
      </c>
      <c r="DL21" s="279" t="s">
        <v>365</v>
      </c>
      <c r="DM21" s="279" t="s">
        <v>380</v>
      </c>
      <c r="DN21" s="280" t="s">
        <v>552</v>
      </c>
      <c r="DO21" s="110" t="s">
        <v>703</v>
      </c>
      <c r="DP21" s="279" t="s">
        <v>480</v>
      </c>
      <c r="DQ21" s="109"/>
      <c r="DR21" s="28"/>
      <c r="DS21" s="28"/>
      <c r="DT21" s="28"/>
      <c r="DU21" s="28"/>
      <c r="DV21" s="28"/>
      <c r="DW21" s="28"/>
      <c r="DX21" s="28"/>
      <c r="DY21" s="28"/>
    </row>
    <row r="22" spans="1:129" ht="283.5" customHeight="1" x14ac:dyDescent="0.2">
      <c r="A22" s="524"/>
      <c r="B22" s="12" t="s">
        <v>638</v>
      </c>
      <c r="C22" s="84"/>
      <c r="D22" s="241">
        <v>206</v>
      </c>
      <c r="E22" s="370" t="s">
        <v>755</v>
      </c>
      <c r="F22" s="280" t="s">
        <v>98</v>
      </c>
      <c r="G22" s="280" t="s">
        <v>97</v>
      </c>
      <c r="H22" s="286" t="s">
        <v>12</v>
      </c>
      <c r="I22" s="285" t="s">
        <v>501</v>
      </c>
      <c r="J22" s="279" t="s">
        <v>481</v>
      </c>
      <c r="K22" s="265" t="s">
        <v>668</v>
      </c>
      <c r="L22" s="280" t="s">
        <v>10</v>
      </c>
      <c r="M22" s="321">
        <f>O22*449</f>
        <v>449</v>
      </c>
      <c r="N22" s="315" t="s">
        <v>77</v>
      </c>
      <c r="O22" s="313">
        <v>1</v>
      </c>
      <c r="P22" s="316" t="s">
        <v>77</v>
      </c>
      <c r="Q22" s="144">
        <f>$T$103</f>
        <v>4</v>
      </c>
      <c r="R22" s="272">
        <f>$U$103</f>
        <v>1</v>
      </c>
      <c r="S22" s="4">
        <v>75</v>
      </c>
      <c r="T22" s="4">
        <v>95</v>
      </c>
      <c r="U22" s="4">
        <v>50</v>
      </c>
      <c r="V22" s="4">
        <v>95</v>
      </c>
      <c r="W22" s="194">
        <f t="shared" ref="W22" si="108">($Q$43-($Q$43*(($T$43+$S$43)/2)/100)-(Q22-(Q22*((T22+S22)/2)/100)))/($Q$43-($Q$43*(($T$43+$S$43)/2)/100))</f>
        <v>0.96517006802721084</v>
      </c>
      <c r="X22" s="51" t="s">
        <v>387</v>
      </c>
      <c r="Y22" s="271">
        <f t="shared" si="98"/>
        <v>4.1004027000000001</v>
      </c>
      <c r="Z22" s="271">
        <f t="shared" si="99"/>
        <v>5.1938434199999994</v>
      </c>
      <c r="AA22" s="150">
        <f t="shared" si="43"/>
        <v>1.8599426647200001</v>
      </c>
      <c r="AB22" s="150">
        <f t="shared" ref="AB22" si="109">Z22*0.4536</f>
        <v>2.3559273753119996</v>
      </c>
      <c r="AC22" s="150">
        <f t="shared" ref="AC22" si="110">(AA22+AB22)/2</f>
        <v>2.1079350200159999</v>
      </c>
      <c r="AD22" s="150">
        <f t="shared" si="100"/>
        <v>0.68340044999999994</v>
      </c>
      <c r="AE22" s="150">
        <f t="shared" si="101"/>
        <v>1.2984608549999999</v>
      </c>
      <c r="AF22" s="150">
        <f t="shared" ref="AF22" si="111">AD22*0.4536</f>
        <v>0.30999044411999999</v>
      </c>
      <c r="AG22" s="150">
        <f t="shared" ref="AG22" si="112">AE22*0.4536</f>
        <v>0.5889818438279999</v>
      </c>
      <c r="AH22" s="76"/>
      <c r="AI22" s="76"/>
      <c r="AJ22" s="116">
        <v>82</v>
      </c>
      <c r="AK22" s="76"/>
      <c r="AL22" s="76"/>
      <c r="AM22" s="76">
        <f t="shared" si="4"/>
        <v>82</v>
      </c>
      <c r="AN22" s="108">
        <v>0.6</v>
      </c>
      <c r="AO22" s="76">
        <v>0</v>
      </c>
      <c r="AP22" s="76"/>
      <c r="AQ22" s="76"/>
      <c r="AR22" s="76">
        <f>(AM22*(1+$AN$2))+AO22</f>
        <v>114.8</v>
      </c>
      <c r="AS22" s="76"/>
      <c r="AT22" s="76"/>
      <c r="AU22" s="116">
        <v>235</v>
      </c>
      <c r="AV22" s="76"/>
      <c r="AW22" s="76"/>
      <c r="AX22" s="76">
        <f t="shared" si="5"/>
        <v>235</v>
      </c>
      <c r="AY22" s="337">
        <v>0.75</v>
      </c>
      <c r="AZ22" s="51">
        <v>0.2</v>
      </c>
      <c r="BA22" s="51">
        <v>0.1</v>
      </c>
      <c r="BB22" s="338" t="s">
        <v>304</v>
      </c>
      <c r="BC22" s="76"/>
      <c r="BD22" s="76"/>
      <c r="BE22" s="76">
        <f t="shared" ref="BE22" si="113">AR22*(1+$AZ22)</f>
        <v>137.76</v>
      </c>
      <c r="BF22" s="76"/>
      <c r="BG22" s="76"/>
      <c r="BH22" s="76">
        <f t="shared" ref="BH22" si="114">AX22*(1+$BA22)</f>
        <v>258.5</v>
      </c>
      <c r="BI22" s="4">
        <v>20</v>
      </c>
      <c r="BJ22" s="76">
        <f>BE22*0.5</f>
        <v>68.88</v>
      </c>
      <c r="BK22" s="76">
        <f t="shared" si="7"/>
        <v>68.88</v>
      </c>
      <c r="BL22" s="116">
        <f t="shared" si="8"/>
        <v>25.960147580292279</v>
      </c>
      <c r="BM22" s="4">
        <f t="shared" si="9"/>
        <v>92.942461199999997</v>
      </c>
      <c r="BN22" s="4">
        <f t="shared" si="106"/>
        <v>42.158700400320001</v>
      </c>
      <c r="BO22" s="4">
        <f t="shared" si="10"/>
        <v>19.818613049999996</v>
      </c>
      <c r="BP22" s="4">
        <f t="shared" si="107"/>
        <v>8.9897228794799986</v>
      </c>
      <c r="BQ22" s="335">
        <f t="shared" si="11"/>
        <v>92.942461199999997</v>
      </c>
      <c r="BR22" s="335">
        <f t="shared" si="12"/>
        <v>42.158700400320001</v>
      </c>
      <c r="BS22" s="335">
        <f t="shared" si="13"/>
        <v>19.818613049999996</v>
      </c>
      <c r="BT22" s="335">
        <f t="shared" si="14"/>
        <v>8.9897228794799986</v>
      </c>
      <c r="BU22" s="76" t="str">
        <f t="shared" si="15"/>
        <v>N/A</v>
      </c>
      <c r="BV22" s="116">
        <f t="shared" si="16"/>
        <v>127.87689241636816</v>
      </c>
      <c r="BW22" s="88">
        <f t="shared" si="17"/>
        <v>1.7615215421075192</v>
      </c>
      <c r="BX22" s="89">
        <f t="shared" si="18"/>
        <v>34.661029328827226</v>
      </c>
      <c r="BY22" s="89">
        <f t="shared" si="19"/>
        <v>36.422550870934742</v>
      </c>
      <c r="BZ22" s="89">
        <f t="shared" si="20"/>
        <v>3.8834249164627845</v>
      </c>
      <c r="CA22" s="89">
        <f t="shared" si="21"/>
        <v>76.41320398771434</v>
      </c>
      <c r="CB22" s="89">
        <f t="shared" si="22"/>
        <v>80.296628904177126</v>
      </c>
      <c r="CC22" s="89">
        <f t="shared" si="23"/>
        <v>8.2609286112628499</v>
      </c>
      <c r="CD22" s="89">
        <f t="shared" si="24"/>
        <v>162.54827547312081</v>
      </c>
      <c r="CE22" s="89">
        <f t="shared" si="25"/>
        <v>170.80920408438365</v>
      </c>
      <c r="CF22" s="89">
        <f t="shared" si="26"/>
        <v>18.211923746170303</v>
      </c>
      <c r="CG22" s="89">
        <f t="shared" si="27"/>
        <v>358.35157732169489</v>
      </c>
      <c r="CH22" s="89">
        <f t="shared" si="28"/>
        <v>376.56350106786522</v>
      </c>
      <c r="CI22" s="41">
        <f t="shared" si="82"/>
        <v>0</v>
      </c>
      <c r="CJ22" s="41">
        <f t="shared" si="83"/>
        <v>0</v>
      </c>
      <c r="CK22" s="41">
        <f t="shared" si="84"/>
        <v>0</v>
      </c>
      <c r="CL22" s="41">
        <f t="shared" si="85"/>
        <v>0</v>
      </c>
      <c r="CM22" s="359">
        <f t="shared" si="29"/>
        <v>1.7615215421075192</v>
      </c>
      <c r="CN22" s="210">
        <f t="shared" si="30"/>
        <v>34.661029328827226</v>
      </c>
      <c r="CO22" s="210">
        <f t="shared" si="51"/>
        <v>36.422550870934742</v>
      </c>
      <c r="CP22" s="210">
        <f t="shared" si="32"/>
        <v>3.8834249164627845</v>
      </c>
      <c r="CQ22" s="210">
        <f t="shared" si="33"/>
        <v>76.41320398771434</v>
      </c>
      <c r="CR22" s="210">
        <f t="shared" si="52"/>
        <v>80.296628904177126</v>
      </c>
      <c r="CS22" s="210">
        <f t="shared" si="35"/>
        <v>8.2609286112628499</v>
      </c>
      <c r="CT22" s="210">
        <f t="shared" si="36"/>
        <v>162.54827547312081</v>
      </c>
      <c r="CU22" s="210">
        <f t="shared" si="53"/>
        <v>170.80920408438365</v>
      </c>
      <c r="CV22" s="210">
        <f t="shared" si="38"/>
        <v>18.211923746170303</v>
      </c>
      <c r="CW22" s="210">
        <f t="shared" si="39"/>
        <v>358.35157732169489</v>
      </c>
      <c r="CX22" s="210">
        <f t="shared" si="54"/>
        <v>376.56350106786522</v>
      </c>
      <c r="CY22" s="299" t="s">
        <v>122</v>
      </c>
      <c r="CZ22" s="298" t="s">
        <v>57</v>
      </c>
      <c r="DA22" s="298" t="s">
        <v>57</v>
      </c>
      <c r="DB22" s="298" t="s">
        <v>345</v>
      </c>
      <c r="DC22" s="298" t="s">
        <v>56</v>
      </c>
      <c r="DD22" s="279" t="s">
        <v>256</v>
      </c>
      <c r="DE22" s="279" t="s">
        <v>482</v>
      </c>
      <c r="DF22" s="298" t="s">
        <v>57</v>
      </c>
      <c r="DG22" s="298" t="s">
        <v>57</v>
      </c>
      <c r="DH22" s="298" t="s">
        <v>56</v>
      </c>
      <c r="DI22" s="298" t="s">
        <v>56</v>
      </c>
      <c r="DJ22" s="279" t="s">
        <v>479</v>
      </c>
      <c r="DK22" s="280" t="s">
        <v>373</v>
      </c>
      <c r="DL22" s="279" t="s">
        <v>365</v>
      </c>
      <c r="DM22" s="279" t="s">
        <v>380</v>
      </c>
      <c r="DN22" s="280" t="s">
        <v>552</v>
      </c>
      <c r="DO22" s="110" t="s">
        <v>703</v>
      </c>
      <c r="DP22" s="279" t="s">
        <v>480</v>
      </c>
      <c r="DQ22" s="109"/>
      <c r="DR22" s="28"/>
      <c r="DS22" s="28"/>
      <c r="DT22" s="28"/>
      <c r="DU22" s="28"/>
      <c r="DV22" s="28"/>
      <c r="DW22" s="28"/>
      <c r="DX22" s="28"/>
      <c r="DY22" s="28"/>
    </row>
    <row r="23" spans="1:129" ht="283.5" customHeight="1" x14ac:dyDescent="0.2">
      <c r="A23" s="524"/>
      <c r="B23" s="12" t="s">
        <v>639</v>
      </c>
      <c r="C23" s="84"/>
      <c r="D23" s="241">
        <v>209</v>
      </c>
      <c r="E23" s="370" t="s">
        <v>755</v>
      </c>
      <c r="F23" s="280" t="s">
        <v>98</v>
      </c>
      <c r="G23" s="280" t="s">
        <v>97</v>
      </c>
      <c r="H23" s="286" t="s">
        <v>12</v>
      </c>
      <c r="I23" s="285" t="s">
        <v>501</v>
      </c>
      <c r="J23" s="279" t="s">
        <v>481</v>
      </c>
      <c r="K23" s="265" t="s">
        <v>669</v>
      </c>
      <c r="L23" s="280" t="s">
        <v>10</v>
      </c>
      <c r="M23" s="321">
        <f>O23*673</f>
        <v>673</v>
      </c>
      <c r="N23" s="315" t="s">
        <v>77</v>
      </c>
      <c r="O23" s="313">
        <v>1</v>
      </c>
      <c r="P23" s="316" t="s">
        <v>77</v>
      </c>
      <c r="Q23" s="144">
        <f>$T$103</f>
        <v>4</v>
      </c>
      <c r="R23" s="272">
        <f>$U$103</f>
        <v>1</v>
      </c>
      <c r="S23" s="4">
        <v>75</v>
      </c>
      <c r="T23" s="4">
        <v>95</v>
      </c>
      <c r="U23" s="4">
        <v>50</v>
      </c>
      <c r="V23" s="4">
        <v>95</v>
      </c>
      <c r="W23" s="194">
        <f t="shared" si="42"/>
        <v>0.96517006802721084</v>
      </c>
      <c r="X23" s="51" t="s">
        <v>387</v>
      </c>
      <c r="Y23" s="150">
        <f t="shared" si="98"/>
        <v>6.1460378999999996</v>
      </c>
      <c r="Z23" s="150">
        <f t="shared" si="99"/>
        <v>7.7849813400000007</v>
      </c>
      <c r="AA23" s="150">
        <f t="shared" si="43"/>
        <v>2.7878427914399997</v>
      </c>
      <c r="AB23" s="150">
        <f t="shared" si="102"/>
        <v>3.5312675358240004</v>
      </c>
      <c r="AC23" s="150">
        <f t="shared" si="103"/>
        <v>3.1595551636320001</v>
      </c>
      <c r="AD23" s="150">
        <f t="shared" si="100"/>
        <v>1.0243396499999999</v>
      </c>
      <c r="AE23" s="150">
        <f t="shared" si="101"/>
        <v>1.9462453350000002</v>
      </c>
      <c r="AF23" s="150">
        <f t="shared" si="104"/>
        <v>0.46464046523999997</v>
      </c>
      <c r="AG23" s="150">
        <f t="shared" si="105"/>
        <v>0.88281688395600011</v>
      </c>
      <c r="AH23" s="76"/>
      <c r="AI23" s="76"/>
      <c r="AJ23" s="116">
        <v>123</v>
      </c>
      <c r="AK23" s="76"/>
      <c r="AL23" s="76"/>
      <c r="AM23" s="76">
        <f t="shared" si="4"/>
        <v>123</v>
      </c>
      <c r="AN23" s="108">
        <v>0.6</v>
      </c>
      <c r="AO23" s="76">
        <v>0</v>
      </c>
      <c r="AP23" s="76"/>
      <c r="AQ23" s="76"/>
      <c r="AR23" s="76">
        <f>(AM23*(1+$AN$2))+AO23</f>
        <v>172.2</v>
      </c>
      <c r="AS23" s="76"/>
      <c r="AT23" s="76"/>
      <c r="AU23" s="116">
        <v>352</v>
      </c>
      <c r="AV23" s="76"/>
      <c r="AW23" s="76"/>
      <c r="AX23" s="76">
        <f t="shared" si="5"/>
        <v>352</v>
      </c>
      <c r="AY23" s="337">
        <v>0.75</v>
      </c>
      <c r="AZ23" s="51">
        <v>0.2</v>
      </c>
      <c r="BA23" s="51">
        <v>0.1</v>
      </c>
      <c r="BB23" s="338" t="s">
        <v>304</v>
      </c>
      <c r="BC23" s="76"/>
      <c r="BD23" s="76"/>
      <c r="BE23" s="76">
        <f t="shared" si="48"/>
        <v>206.64</v>
      </c>
      <c r="BF23" s="76"/>
      <c r="BG23" s="76"/>
      <c r="BH23" s="76">
        <f t="shared" si="6"/>
        <v>387.20000000000005</v>
      </c>
      <c r="BI23" s="4">
        <v>20</v>
      </c>
      <c r="BJ23" s="76">
        <f>BE23*0.5</f>
        <v>103.32</v>
      </c>
      <c r="BK23" s="76">
        <f t="shared" si="7"/>
        <v>103.32</v>
      </c>
      <c r="BL23" s="116">
        <f t="shared" si="8"/>
        <v>38.940221370438422</v>
      </c>
      <c r="BM23" s="4">
        <f t="shared" si="9"/>
        <v>139.31019240000001</v>
      </c>
      <c r="BN23" s="4">
        <f t="shared" ref="BN23" si="115">BM23*0.4536</f>
        <v>63.191103272639999</v>
      </c>
      <c r="BO23" s="4">
        <f t="shared" si="10"/>
        <v>29.705849850000003</v>
      </c>
      <c r="BP23" s="4">
        <f t="shared" ref="BP23" si="116">BO23*0.4536</f>
        <v>13.474573491960001</v>
      </c>
      <c r="BQ23" s="335">
        <f t="shared" si="11"/>
        <v>139.31019240000001</v>
      </c>
      <c r="BR23" s="335">
        <f t="shared" si="12"/>
        <v>63.191103272639999</v>
      </c>
      <c r="BS23" s="335">
        <f t="shared" si="13"/>
        <v>29.705849850000003</v>
      </c>
      <c r="BT23" s="335">
        <f t="shared" si="14"/>
        <v>13.474573491960001</v>
      </c>
      <c r="BU23" s="76" t="str">
        <f t="shared" si="15"/>
        <v>N/A</v>
      </c>
      <c r="BV23" s="116">
        <f t="shared" si="16"/>
        <v>127.79782239939109</v>
      </c>
      <c r="BW23" s="88">
        <f t="shared" si="17"/>
        <v>1.7628302505340478</v>
      </c>
      <c r="BX23" s="89">
        <f t="shared" si="18"/>
        <v>34.637579357987327</v>
      </c>
      <c r="BY23" s="89">
        <f t="shared" si="19"/>
        <v>36.400409608521372</v>
      </c>
      <c r="BZ23" s="89">
        <f t="shared" si="20"/>
        <v>3.8863100761332623</v>
      </c>
      <c r="CA23" s="89">
        <f t="shared" si="21"/>
        <v>76.361506521136093</v>
      </c>
      <c r="CB23" s="89">
        <f t="shared" si="22"/>
        <v>80.247816597269349</v>
      </c>
      <c r="CC23" s="89">
        <f t="shared" si="23"/>
        <v>8.2670660025044995</v>
      </c>
      <c r="CD23" s="89">
        <f t="shared" si="24"/>
        <v>162.43830319607849</v>
      </c>
      <c r="CE23" s="89">
        <f t="shared" si="25"/>
        <v>170.70536919858299</v>
      </c>
      <c r="CF23" s="89">
        <f t="shared" si="26"/>
        <v>18.225454150142195</v>
      </c>
      <c r="CG23" s="89">
        <f t="shared" si="27"/>
        <v>358.10913403015542</v>
      </c>
      <c r="CH23" s="89">
        <f t="shared" si="28"/>
        <v>376.3345881802976</v>
      </c>
      <c r="CI23" s="41">
        <f t="shared" si="82"/>
        <v>0</v>
      </c>
      <c r="CJ23" s="41">
        <f t="shared" si="83"/>
        <v>0</v>
      </c>
      <c r="CK23" s="41">
        <f t="shared" si="84"/>
        <v>0</v>
      </c>
      <c r="CL23" s="41">
        <f t="shared" si="85"/>
        <v>0</v>
      </c>
      <c r="CM23" s="359">
        <f t="shared" si="29"/>
        <v>1.7628302505340478</v>
      </c>
      <c r="CN23" s="210">
        <f t="shared" si="30"/>
        <v>34.637579357987327</v>
      </c>
      <c r="CO23" s="210">
        <f t="shared" si="51"/>
        <v>36.400409608521372</v>
      </c>
      <c r="CP23" s="210">
        <f t="shared" si="32"/>
        <v>3.8863100761332623</v>
      </c>
      <c r="CQ23" s="210">
        <f t="shared" si="33"/>
        <v>76.361506521136093</v>
      </c>
      <c r="CR23" s="210">
        <f t="shared" si="52"/>
        <v>80.247816597269349</v>
      </c>
      <c r="CS23" s="210">
        <f t="shared" si="35"/>
        <v>8.2670660025044995</v>
      </c>
      <c r="CT23" s="210">
        <f t="shared" si="36"/>
        <v>162.43830319607849</v>
      </c>
      <c r="CU23" s="210">
        <f t="shared" si="53"/>
        <v>170.70536919858299</v>
      </c>
      <c r="CV23" s="210">
        <f t="shared" si="38"/>
        <v>18.225454150142195</v>
      </c>
      <c r="CW23" s="210">
        <f t="shared" si="39"/>
        <v>358.10913403015542</v>
      </c>
      <c r="CX23" s="210">
        <f t="shared" si="54"/>
        <v>376.3345881802976</v>
      </c>
      <c r="CY23" s="299" t="s">
        <v>122</v>
      </c>
      <c r="CZ23" s="298" t="s">
        <v>57</v>
      </c>
      <c r="DA23" s="298" t="s">
        <v>57</v>
      </c>
      <c r="DB23" s="298" t="s">
        <v>345</v>
      </c>
      <c r="DC23" s="298" t="s">
        <v>56</v>
      </c>
      <c r="DD23" s="279" t="s">
        <v>256</v>
      </c>
      <c r="DE23" s="279" t="s">
        <v>482</v>
      </c>
      <c r="DF23" s="298" t="s">
        <v>57</v>
      </c>
      <c r="DG23" s="298" t="s">
        <v>57</v>
      </c>
      <c r="DH23" s="298" t="s">
        <v>56</v>
      </c>
      <c r="DI23" s="298" t="s">
        <v>56</v>
      </c>
      <c r="DJ23" s="279" t="s">
        <v>479</v>
      </c>
      <c r="DK23" s="280" t="s">
        <v>373</v>
      </c>
      <c r="DL23" s="279" t="s">
        <v>365</v>
      </c>
      <c r="DM23" s="279" t="s">
        <v>380</v>
      </c>
      <c r="DN23" s="280" t="s">
        <v>552</v>
      </c>
      <c r="DO23" s="110" t="s">
        <v>703</v>
      </c>
      <c r="DP23" s="279" t="s">
        <v>480</v>
      </c>
      <c r="DQ23" s="109"/>
      <c r="DR23" s="28"/>
      <c r="DS23" s="28"/>
      <c r="DT23" s="28"/>
      <c r="DU23" s="28"/>
      <c r="DV23" s="28"/>
      <c r="DW23" s="28"/>
      <c r="DX23" s="28"/>
      <c r="DY23" s="28"/>
    </row>
    <row r="24" spans="1:129" ht="283.5" customHeight="1" x14ac:dyDescent="0.2">
      <c r="A24" s="524"/>
      <c r="B24" s="12" t="s">
        <v>640</v>
      </c>
      <c r="C24" s="84"/>
      <c r="D24" s="241">
        <v>210</v>
      </c>
      <c r="E24" s="370" t="s">
        <v>756</v>
      </c>
      <c r="F24" s="280" t="s">
        <v>98</v>
      </c>
      <c r="G24" s="280" t="s">
        <v>97</v>
      </c>
      <c r="H24" s="286" t="s">
        <v>12</v>
      </c>
      <c r="I24" s="285" t="s">
        <v>501</v>
      </c>
      <c r="J24" s="279" t="s">
        <v>481</v>
      </c>
      <c r="K24" s="265" t="s">
        <v>670</v>
      </c>
      <c r="L24" s="280" t="s">
        <v>10</v>
      </c>
      <c r="M24" s="321">
        <f>O24*897</f>
        <v>897</v>
      </c>
      <c r="N24" s="315" t="s">
        <v>77</v>
      </c>
      <c r="O24" s="313">
        <v>1</v>
      </c>
      <c r="P24" s="316" t="s">
        <v>77</v>
      </c>
      <c r="Q24" s="144">
        <f>$T$103</f>
        <v>4</v>
      </c>
      <c r="R24" s="272">
        <f>$U$103</f>
        <v>1</v>
      </c>
      <c r="S24" s="4">
        <v>75</v>
      </c>
      <c r="T24" s="4">
        <v>95</v>
      </c>
      <c r="U24" s="4">
        <v>50</v>
      </c>
      <c r="V24" s="4">
        <v>95</v>
      </c>
      <c r="W24" s="194">
        <f t="shared" ref="W24" si="117">($Q$43-($Q$43*(($T$43+$S$43)/2)/100)-(Q24-(Q24*((T24+S24)/2)/100)))/($Q$43-($Q$43*(($T$43+$S$43)/2)/100))</f>
        <v>0.96517006802721084</v>
      </c>
      <c r="X24" s="51" t="s">
        <v>387</v>
      </c>
      <c r="Y24" s="150">
        <f t="shared" si="98"/>
        <v>8.1916731000000009</v>
      </c>
      <c r="Z24" s="150">
        <f t="shared" si="99"/>
        <v>10.376119259999999</v>
      </c>
      <c r="AA24" s="150">
        <f t="shared" si="43"/>
        <v>3.7157429181600006</v>
      </c>
      <c r="AB24" s="150">
        <f t="shared" ref="AB24" si="118">Z24*0.4536</f>
        <v>4.7066076963359995</v>
      </c>
      <c r="AC24" s="150">
        <f t="shared" ref="AC24" si="119">(AA24+AB24)/2</f>
        <v>4.2111753072480003</v>
      </c>
      <c r="AD24" s="150">
        <f t="shared" si="100"/>
        <v>1.3652788499999999</v>
      </c>
      <c r="AE24" s="150">
        <f t="shared" si="101"/>
        <v>2.5940298149999999</v>
      </c>
      <c r="AF24" s="150">
        <f t="shared" ref="AF24" si="120">AD24*0.4536</f>
        <v>0.61929048635999995</v>
      </c>
      <c r="AG24" s="150">
        <f t="shared" ref="AG24" si="121">AE24*0.4536</f>
        <v>1.1766519240839999</v>
      </c>
      <c r="AH24" s="76"/>
      <c r="AI24" s="76"/>
      <c r="AJ24" s="116">
        <v>164</v>
      </c>
      <c r="AK24" s="76"/>
      <c r="AL24" s="76"/>
      <c r="AM24" s="76">
        <f t="shared" si="4"/>
        <v>164</v>
      </c>
      <c r="AN24" s="108">
        <v>0.6</v>
      </c>
      <c r="AO24" s="76">
        <v>0</v>
      </c>
      <c r="AP24" s="76"/>
      <c r="AQ24" s="76"/>
      <c r="AR24" s="76">
        <f>(AM24*(1+$AN$2))+AO24</f>
        <v>229.6</v>
      </c>
      <c r="AS24" s="76"/>
      <c r="AT24" s="76"/>
      <c r="AU24" s="116">
        <v>470</v>
      </c>
      <c r="AV24" s="76"/>
      <c r="AW24" s="76"/>
      <c r="AX24" s="76">
        <f t="shared" si="5"/>
        <v>470</v>
      </c>
      <c r="AY24" s="337">
        <v>0.75</v>
      </c>
      <c r="AZ24" s="51">
        <v>0.2</v>
      </c>
      <c r="BA24" s="51">
        <v>0.1</v>
      </c>
      <c r="BB24" s="338" t="s">
        <v>304</v>
      </c>
      <c r="BC24" s="76"/>
      <c r="BD24" s="76"/>
      <c r="BE24" s="76">
        <f t="shared" ref="BE24" si="122">AR24*(1+$AZ24)</f>
        <v>275.52</v>
      </c>
      <c r="BF24" s="76"/>
      <c r="BG24" s="76"/>
      <c r="BH24" s="76">
        <f t="shared" ref="BH24" si="123">AX24*(1+$BA24)</f>
        <v>517</v>
      </c>
      <c r="BI24" s="4">
        <v>20</v>
      </c>
      <c r="BJ24" s="76">
        <f>BE24*0.5</f>
        <v>137.76</v>
      </c>
      <c r="BK24" s="76">
        <f t="shared" si="7"/>
        <v>137.76</v>
      </c>
      <c r="BL24" s="116">
        <f t="shared" si="8"/>
        <v>51.920295160584558</v>
      </c>
      <c r="BM24" s="4">
        <f t="shared" si="9"/>
        <v>185.67792359999999</v>
      </c>
      <c r="BN24" s="4">
        <f t="shared" ref="BN24" si="124">BM24*0.4536</f>
        <v>84.223506144959998</v>
      </c>
      <c r="BO24" s="4">
        <f t="shared" si="10"/>
        <v>39.593086650000004</v>
      </c>
      <c r="BP24" s="4">
        <f t="shared" ref="BP24" si="125">BO24*0.4536</f>
        <v>17.95942410444</v>
      </c>
      <c r="BQ24" s="335">
        <f t="shared" si="11"/>
        <v>185.67792359999999</v>
      </c>
      <c r="BR24" s="335">
        <f t="shared" si="12"/>
        <v>84.223506144959998</v>
      </c>
      <c r="BS24" s="335">
        <f t="shared" si="13"/>
        <v>39.593086650000004</v>
      </c>
      <c r="BT24" s="335">
        <f t="shared" si="14"/>
        <v>17.95942410444</v>
      </c>
      <c r="BU24" s="76" t="str">
        <f t="shared" si="15"/>
        <v>N/A</v>
      </c>
      <c r="BV24" s="116">
        <f t="shared" si="16"/>
        <v>128.01945305451349</v>
      </c>
      <c r="BW24" s="88">
        <f t="shared" si="17"/>
        <v>1.7634853342391887</v>
      </c>
      <c r="BX24" s="89">
        <f t="shared" si="18"/>
        <v>34.699670387164829</v>
      </c>
      <c r="BY24" s="89">
        <f t="shared" si="19"/>
        <v>36.463155721404021</v>
      </c>
      <c r="BZ24" s="89">
        <f t="shared" si="20"/>
        <v>3.8877542641957423</v>
      </c>
      <c r="CA24" s="89">
        <f t="shared" si="21"/>
        <v>76.498391506095288</v>
      </c>
      <c r="CB24" s="89">
        <f t="shared" si="22"/>
        <v>80.386145770291037</v>
      </c>
      <c r="CC24" s="89">
        <f t="shared" si="23"/>
        <v>8.2701381191906762</v>
      </c>
      <c r="CD24" s="89">
        <f t="shared" si="24"/>
        <v>162.72948871222124</v>
      </c>
      <c r="CE24" s="89">
        <f t="shared" si="25"/>
        <v>170.99962683141192</v>
      </c>
      <c r="CF24" s="89">
        <f t="shared" si="26"/>
        <v>18.232226894159343</v>
      </c>
      <c r="CG24" s="89">
        <f t="shared" si="27"/>
        <v>358.75107740789514</v>
      </c>
      <c r="CH24" s="89">
        <f t="shared" si="28"/>
        <v>376.98330430205448</v>
      </c>
      <c r="CI24" s="41">
        <f t="shared" si="82"/>
        <v>0</v>
      </c>
      <c r="CJ24" s="41">
        <f t="shared" si="83"/>
        <v>0</v>
      </c>
      <c r="CK24" s="41">
        <f t="shared" si="84"/>
        <v>0</v>
      </c>
      <c r="CL24" s="41">
        <f t="shared" si="85"/>
        <v>0</v>
      </c>
      <c r="CM24" s="359">
        <f t="shared" si="29"/>
        <v>1.7634853342391887</v>
      </c>
      <c r="CN24" s="210">
        <f t="shared" si="30"/>
        <v>34.699670387164829</v>
      </c>
      <c r="CO24" s="210">
        <f t="shared" si="51"/>
        <v>36.463155721404021</v>
      </c>
      <c r="CP24" s="210">
        <f t="shared" si="32"/>
        <v>3.8877542641957423</v>
      </c>
      <c r="CQ24" s="210">
        <f t="shared" si="33"/>
        <v>76.498391506095288</v>
      </c>
      <c r="CR24" s="210">
        <f t="shared" si="52"/>
        <v>80.386145770291037</v>
      </c>
      <c r="CS24" s="210">
        <f t="shared" si="35"/>
        <v>8.2701381191906762</v>
      </c>
      <c r="CT24" s="210">
        <f t="shared" si="36"/>
        <v>162.72948871222124</v>
      </c>
      <c r="CU24" s="210">
        <f t="shared" si="53"/>
        <v>170.99962683141192</v>
      </c>
      <c r="CV24" s="210">
        <f t="shared" si="38"/>
        <v>18.232226894159343</v>
      </c>
      <c r="CW24" s="210">
        <f t="shared" si="39"/>
        <v>358.75107740789514</v>
      </c>
      <c r="CX24" s="210">
        <f t="shared" si="54"/>
        <v>376.98330430205448</v>
      </c>
      <c r="CY24" s="299" t="s">
        <v>122</v>
      </c>
      <c r="CZ24" s="298" t="s">
        <v>57</v>
      </c>
      <c r="DA24" s="298" t="s">
        <v>57</v>
      </c>
      <c r="DB24" s="298" t="s">
        <v>345</v>
      </c>
      <c r="DC24" s="298" t="s">
        <v>56</v>
      </c>
      <c r="DD24" s="279" t="s">
        <v>256</v>
      </c>
      <c r="DE24" s="279" t="s">
        <v>482</v>
      </c>
      <c r="DF24" s="298" t="s">
        <v>57</v>
      </c>
      <c r="DG24" s="298" t="s">
        <v>57</v>
      </c>
      <c r="DH24" s="298" t="s">
        <v>56</v>
      </c>
      <c r="DI24" s="298" t="s">
        <v>56</v>
      </c>
      <c r="DJ24" s="279" t="s">
        <v>479</v>
      </c>
      <c r="DK24" s="280" t="s">
        <v>373</v>
      </c>
      <c r="DL24" s="279" t="s">
        <v>365</v>
      </c>
      <c r="DM24" s="279" t="s">
        <v>380</v>
      </c>
      <c r="DN24" s="280" t="s">
        <v>552</v>
      </c>
      <c r="DO24" s="110" t="s">
        <v>703</v>
      </c>
      <c r="DP24" s="279" t="s">
        <v>480</v>
      </c>
      <c r="DQ24" s="109"/>
      <c r="DR24" s="28"/>
      <c r="DS24" s="28"/>
      <c r="DT24" s="28"/>
      <c r="DU24" s="28"/>
      <c r="DV24" s="28"/>
      <c r="DW24" s="28"/>
      <c r="DX24" s="28"/>
      <c r="DY24" s="28"/>
    </row>
    <row r="25" spans="1:129" ht="172.5" customHeight="1" x14ac:dyDescent="0.2">
      <c r="A25" s="524"/>
      <c r="B25" s="12" t="s">
        <v>391</v>
      </c>
      <c r="C25" s="84"/>
      <c r="D25" s="241">
        <v>207</v>
      </c>
      <c r="E25" s="370" t="s">
        <v>737</v>
      </c>
      <c r="F25" s="280" t="s">
        <v>98</v>
      </c>
      <c r="G25" s="280" t="s">
        <v>97</v>
      </c>
      <c r="H25" s="286" t="s">
        <v>102</v>
      </c>
      <c r="I25" s="285" t="s">
        <v>502</v>
      </c>
      <c r="J25" s="279" t="s">
        <v>483</v>
      </c>
      <c r="K25" s="265" t="s">
        <v>757</v>
      </c>
      <c r="L25" s="286" t="s">
        <v>9</v>
      </c>
      <c r="M25" s="322">
        <f>N25*730</f>
        <v>730</v>
      </c>
      <c r="N25" s="314">
        <v>1</v>
      </c>
      <c r="O25" s="11" t="s">
        <v>77</v>
      </c>
      <c r="P25" s="316" t="s">
        <v>77</v>
      </c>
      <c r="Q25" s="144">
        <f>$T$97</f>
        <v>6</v>
      </c>
      <c r="R25" s="272">
        <f>$U$97</f>
        <v>1</v>
      </c>
      <c r="S25" s="4">
        <v>60</v>
      </c>
      <c r="T25" s="4">
        <v>80</v>
      </c>
      <c r="U25" s="4">
        <v>60</v>
      </c>
      <c r="V25" s="4">
        <v>80</v>
      </c>
      <c r="W25" s="194">
        <f t="shared" si="42"/>
        <v>0.89551020408163262</v>
      </c>
      <c r="X25" s="51" t="s">
        <v>387</v>
      </c>
      <c r="Y25" s="150">
        <f t="shared" si="98"/>
        <v>7.9998947999999981</v>
      </c>
      <c r="Z25" s="150">
        <f t="shared" si="99"/>
        <v>10.6665264</v>
      </c>
      <c r="AA25" s="150">
        <f t="shared" si="43"/>
        <v>3.6287522812799993</v>
      </c>
      <c r="AB25" s="150">
        <f t="shared" si="102"/>
        <v>4.8383363750399999</v>
      </c>
      <c r="AC25" s="150">
        <f t="shared" si="103"/>
        <v>4.2335443281599998</v>
      </c>
      <c r="AD25" s="150">
        <f t="shared" si="100"/>
        <v>1.3333157999999998</v>
      </c>
      <c r="AE25" s="150">
        <f t="shared" si="101"/>
        <v>1.7777543999999998</v>
      </c>
      <c r="AF25" s="150">
        <f t="shared" si="104"/>
        <v>0.60479204687999988</v>
      </c>
      <c r="AG25" s="150">
        <f t="shared" si="105"/>
        <v>0.80638939583999991</v>
      </c>
      <c r="AH25" s="76">
        <v>1000</v>
      </c>
      <c r="AI25" s="76">
        <v>2000</v>
      </c>
      <c r="AJ25" s="76">
        <f t="shared" si="55"/>
        <v>1500</v>
      </c>
      <c r="AK25" s="76">
        <f t="shared" ref="AK25:AK45" si="126">AH25*($AA$99/$AA$97)</f>
        <v>1000</v>
      </c>
      <c r="AL25" s="76">
        <f t="shared" ref="AL25:AL45" si="127">AI25*($AA$99/$AA$97)</f>
        <v>2000</v>
      </c>
      <c r="AM25" s="76">
        <f t="shared" si="4"/>
        <v>1500</v>
      </c>
      <c r="AN25" s="108">
        <v>0.5</v>
      </c>
      <c r="AO25" s="76">
        <v>0</v>
      </c>
      <c r="AP25" s="76">
        <f t="shared" si="58"/>
        <v>1400</v>
      </c>
      <c r="AQ25" s="76">
        <f t="shared" si="59"/>
        <v>2800</v>
      </c>
      <c r="AR25" s="76">
        <f t="shared" si="60"/>
        <v>2100</v>
      </c>
      <c r="AS25" s="76">
        <v>500</v>
      </c>
      <c r="AT25" s="76">
        <v>1000</v>
      </c>
      <c r="AU25" s="76">
        <f t="shared" si="67"/>
        <v>750</v>
      </c>
      <c r="AV25" s="76">
        <f t="shared" ref="AV25:AV45" si="128">AS25*($AA$99/$AA$97)</f>
        <v>500</v>
      </c>
      <c r="AW25" s="76">
        <f t="shared" ref="AW25:AW45" si="129">AT25*($AA$99/$AA$97)</f>
        <v>1000</v>
      </c>
      <c r="AX25" s="76">
        <f t="shared" si="5"/>
        <v>750</v>
      </c>
      <c r="AY25" s="337">
        <v>0.75</v>
      </c>
      <c r="AZ25" s="51">
        <v>0.1</v>
      </c>
      <c r="BA25" s="51">
        <v>0.1</v>
      </c>
      <c r="BB25" s="338" t="s">
        <v>462</v>
      </c>
      <c r="BC25" s="76">
        <f t="shared" ref="BC25" si="130">AP25*(1+$AZ25)</f>
        <v>1540.0000000000002</v>
      </c>
      <c r="BD25" s="76">
        <f t="shared" ref="BD25" si="131">AQ25*(1+$AZ25)</f>
        <v>3080.0000000000005</v>
      </c>
      <c r="BE25" s="76">
        <f t="shared" si="48"/>
        <v>2310</v>
      </c>
      <c r="BF25" s="76">
        <f t="shared" ref="BF25" si="132">AV25*(1+$BA25)</f>
        <v>550</v>
      </c>
      <c r="BG25" s="76">
        <f t="shared" ref="BG25" si="133">AW25*(1+$BA25)</f>
        <v>1100</v>
      </c>
      <c r="BH25" s="76">
        <f t="shared" si="6"/>
        <v>825.00000000000011</v>
      </c>
      <c r="BI25" s="4">
        <v>20</v>
      </c>
      <c r="BJ25" s="76">
        <f>BE25*0.25</f>
        <v>577.5</v>
      </c>
      <c r="BK25" s="76">
        <f t="shared" si="7"/>
        <v>577.5</v>
      </c>
      <c r="BL25" s="116">
        <f t="shared" si="8"/>
        <v>217.65367635915786</v>
      </c>
      <c r="BM25" s="4">
        <f t="shared" si="9"/>
        <v>186.66421199999999</v>
      </c>
      <c r="BN25" s="4">
        <f t="shared" si="65"/>
        <v>84.6708865632</v>
      </c>
      <c r="BO25" s="4">
        <f t="shared" si="10"/>
        <v>31.110701999999996</v>
      </c>
      <c r="BP25" s="4">
        <f t="shared" si="66"/>
        <v>14.111814427199999</v>
      </c>
      <c r="BQ25" s="335">
        <f t="shared" si="11"/>
        <v>186.66421199999999</v>
      </c>
      <c r="BR25" s="335">
        <f t="shared" si="12"/>
        <v>84.6708865632</v>
      </c>
      <c r="BS25" s="335">
        <f t="shared" si="13"/>
        <v>31.110701999999996</v>
      </c>
      <c r="BT25" s="335">
        <f t="shared" si="14"/>
        <v>14.111814427199999</v>
      </c>
      <c r="BU25" s="76" t="str">
        <f t="shared" si="15"/>
        <v>N/A</v>
      </c>
      <c r="BV25" s="116">
        <f t="shared" si="16"/>
        <v>238.66367754937568</v>
      </c>
      <c r="BW25" s="88">
        <f t="shared" si="17"/>
        <v>13.541179904154086</v>
      </c>
      <c r="BX25" s="89">
        <f t="shared" si="18"/>
        <v>55.079243216666995</v>
      </c>
      <c r="BY25" s="89">
        <f t="shared" si="19"/>
        <v>68.620423120821087</v>
      </c>
      <c r="BZ25" s="89">
        <f t="shared" si="20"/>
        <v>29.852689383055747</v>
      </c>
      <c r="CA25" s="89">
        <f t="shared" si="21"/>
        <v>121.42690303498016</v>
      </c>
      <c r="CB25" s="89">
        <f t="shared" si="22"/>
        <v>151.27959241803592</v>
      </c>
      <c r="CC25" s="89">
        <f t="shared" si="23"/>
        <v>81.247079424924522</v>
      </c>
      <c r="CD25" s="89">
        <f t="shared" si="24"/>
        <v>330.475459300002</v>
      </c>
      <c r="CE25" s="89">
        <f t="shared" si="25"/>
        <v>411.72253872492649</v>
      </c>
      <c r="CF25" s="89">
        <f t="shared" si="26"/>
        <v>179.11613629833448</v>
      </c>
      <c r="CG25" s="89">
        <f t="shared" si="27"/>
        <v>728.56141820988103</v>
      </c>
      <c r="CH25" s="89">
        <f t="shared" si="28"/>
        <v>907.67755450821551</v>
      </c>
      <c r="CI25" s="41">
        <f t="shared" si="82"/>
        <v>786.96806941733087</v>
      </c>
      <c r="CJ25" s="41">
        <f t="shared" si="83"/>
        <v>2098.5815184462163</v>
      </c>
      <c r="CK25" s="41">
        <f t="shared" si="84"/>
        <v>4721.8084165039863</v>
      </c>
      <c r="CL25" s="41">
        <f t="shared" si="85"/>
        <v>12591.489110677296</v>
      </c>
      <c r="CM25" s="359">
        <f t="shared" si="29"/>
        <v>13.541179904154086</v>
      </c>
      <c r="CN25" s="210">
        <f t="shared" si="30"/>
        <v>55.079243216666995</v>
      </c>
      <c r="CO25" s="210">
        <f t="shared" si="51"/>
        <v>68.620423120821087</v>
      </c>
      <c r="CP25" s="210">
        <f t="shared" si="32"/>
        <v>29.852689383055747</v>
      </c>
      <c r="CQ25" s="210">
        <f t="shared" si="33"/>
        <v>121.42690303498016</v>
      </c>
      <c r="CR25" s="210">
        <f t="shared" si="52"/>
        <v>151.27959241803592</v>
      </c>
      <c r="CS25" s="210">
        <f t="shared" si="35"/>
        <v>81.247079424924522</v>
      </c>
      <c r="CT25" s="210">
        <f t="shared" si="36"/>
        <v>330.475459300002</v>
      </c>
      <c r="CU25" s="210">
        <f t="shared" si="53"/>
        <v>411.72253872492649</v>
      </c>
      <c r="CV25" s="210">
        <f t="shared" si="38"/>
        <v>179.11613629833448</v>
      </c>
      <c r="CW25" s="210">
        <f t="shared" si="39"/>
        <v>728.56141820988103</v>
      </c>
      <c r="CX25" s="210">
        <f t="shared" si="54"/>
        <v>907.67755450821551</v>
      </c>
      <c r="CY25" s="299" t="s">
        <v>122</v>
      </c>
      <c r="CZ25" s="298" t="s">
        <v>57</v>
      </c>
      <c r="DA25" s="298" t="s">
        <v>57</v>
      </c>
      <c r="DB25" s="298" t="s">
        <v>345</v>
      </c>
      <c r="DC25" s="298" t="s">
        <v>56</v>
      </c>
      <c r="DD25" s="279" t="s">
        <v>257</v>
      </c>
      <c r="DE25" s="279" t="s">
        <v>484</v>
      </c>
      <c r="DF25" s="298" t="s">
        <v>57</v>
      </c>
      <c r="DG25" s="298" t="s">
        <v>56</v>
      </c>
      <c r="DH25" s="298" t="s">
        <v>56</v>
      </c>
      <c r="DI25" s="298" t="s">
        <v>57</v>
      </c>
      <c r="DJ25" s="279" t="s">
        <v>380</v>
      </c>
      <c r="DK25" s="280" t="s">
        <v>373</v>
      </c>
      <c r="DL25" s="279" t="s">
        <v>365</v>
      </c>
      <c r="DM25" s="279" t="s">
        <v>380</v>
      </c>
      <c r="DN25" s="280" t="s">
        <v>552</v>
      </c>
      <c r="DO25" s="279" t="s">
        <v>103</v>
      </c>
      <c r="DP25" s="279" t="s">
        <v>104</v>
      </c>
      <c r="DQ25" s="109"/>
      <c r="DR25" s="28"/>
      <c r="DS25" s="28"/>
      <c r="DT25" s="28"/>
      <c r="DU25" s="28"/>
      <c r="DV25" s="28"/>
      <c r="DW25" s="28"/>
      <c r="DX25" s="28"/>
      <c r="DY25" s="28"/>
    </row>
    <row r="26" spans="1:129" ht="172.5" customHeight="1" x14ac:dyDescent="0.2">
      <c r="A26" s="525"/>
      <c r="B26" s="12" t="s">
        <v>485</v>
      </c>
      <c r="C26" s="84"/>
      <c r="D26" s="241">
        <v>208</v>
      </c>
      <c r="E26" s="370" t="s">
        <v>738</v>
      </c>
      <c r="F26" s="280" t="s">
        <v>98</v>
      </c>
      <c r="G26" s="280" t="s">
        <v>97</v>
      </c>
      <c r="H26" s="286" t="s">
        <v>102</v>
      </c>
      <c r="I26" s="285" t="s">
        <v>502</v>
      </c>
      <c r="J26" s="279" t="s">
        <v>486</v>
      </c>
      <c r="K26" s="265" t="s">
        <v>688</v>
      </c>
      <c r="L26" s="286" t="s">
        <v>9</v>
      </c>
      <c r="M26" s="322">
        <f>N25*2500</f>
        <v>2500</v>
      </c>
      <c r="N26" s="314">
        <v>1</v>
      </c>
      <c r="O26" s="11" t="s">
        <v>77</v>
      </c>
      <c r="P26" s="316" t="s">
        <v>77</v>
      </c>
      <c r="Q26" s="144">
        <f>$T$97</f>
        <v>6</v>
      </c>
      <c r="R26" s="272">
        <f>$U$97</f>
        <v>1</v>
      </c>
      <c r="S26" s="4">
        <v>60</v>
      </c>
      <c r="T26" s="4">
        <v>80</v>
      </c>
      <c r="U26" s="4">
        <v>60</v>
      </c>
      <c r="V26" s="4">
        <v>80</v>
      </c>
      <c r="W26" s="194">
        <f t="shared" si="42"/>
        <v>0.89551020408163262</v>
      </c>
      <c r="X26" s="51" t="s">
        <v>387</v>
      </c>
      <c r="Y26" s="150">
        <f t="shared" si="98"/>
        <v>27.396899999999995</v>
      </c>
      <c r="Z26" s="150">
        <f t="shared" si="99"/>
        <v>36.529200000000003</v>
      </c>
      <c r="AA26" s="150">
        <f t="shared" si="43"/>
        <v>12.427233839999998</v>
      </c>
      <c r="AB26" s="150">
        <f t="shared" si="102"/>
        <v>16.569645120000001</v>
      </c>
      <c r="AC26" s="150">
        <f t="shared" si="103"/>
        <v>14.498439479999998</v>
      </c>
      <c r="AD26" s="150">
        <f t="shared" si="100"/>
        <v>4.5661500000000004</v>
      </c>
      <c r="AE26" s="150">
        <f t="shared" si="101"/>
        <v>6.0882000000000005</v>
      </c>
      <c r="AF26" s="150">
        <f t="shared" si="104"/>
        <v>2.0712056400000001</v>
      </c>
      <c r="AG26" s="150">
        <f t="shared" si="105"/>
        <v>2.7616075200000001</v>
      </c>
      <c r="AH26" s="76">
        <v>3000</v>
      </c>
      <c r="AI26" s="76">
        <v>6000</v>
      </c>
      <c r="AJ26" s="76">
        <f t="shared" si="55"/>
        <v>4500</v>
      </c>
      <c r="AK26" s="76">
        <f t="shared" si="126"/>
        <v>3000</v>
      </c>
      <c r="AL26" s="76">
        <f t="shared" si="127"/>
        <v>6000</v>
      </c>
      <c r="AM26" s="76">
        <f t="shared" si="4"/>
        <v>4500</v>
      </c>
      <c r="AN26" s="108">
        <v>0.5</v>
      </c>
      <c r="AO26" s="76">
        <v>0</v>
      </c>
      <c r="AP26" s="76">
        <f t="shared" si="58"/>
        <v>4200</v>
      </c>
      <c r="AQ26" s="76">
        <f t="shared" si="59"/>
        <v>8400</v>
      </c>
      <c r="AR26" s="76">
        <f t="shared" si="60"/>
        <v>6300</v>
      </c>
      <c r="AS26" s="76">
        <v>1500</v>
      </c>
      <c r="AT26" s="76">
        <v>3000</v>
      </c>
      <c r="AU26" s="76">
        <f t="shared" si="67"/>
        <v>2250</v>
      </c>
      <c r="AV26" s="76">
        <f t="shared" si="128"/>
        <v>1500</v>
      </c>
      <c r="AW26" s="76">
        <f t="shared" si="129"/>
        <v>3000</v>
      </c>
      <c r="AX26" s="76">
        <f t="shared" si="5"/>
        <v>2250</v>
      </c>
      <c r="AY26" s="337">
        <v>0.75</v>
      </c>
      <c r="AZ26" s="51">
        <v>0.1</v>
      </c>
      <c r="BA26" s="51">
        <v>0.1</v>
      </c>
      <c r="BB26" s="338" t="s">
        <v>462</v>
      </c>
      <c r="BC26" s="76">
        <f t="shared" ref="BC26:BC38" si="134">AP26*(1+$AZ26)</f>
        <v>4620</v>
      </c>
      <c r="BD26" s="76">
        <f t="shared" ref="BD26:BD38" si="135">AQ26*(1+$AZ26)</f>
        <v>9240</v>
      </c>
      <c r="BE26" s="76">
        <f t="shared" si="48"/>
        <v>6930.0000000000009</v>
      </c>
      <c r="BF26" s="76">
        <f t="shared" ref="BF26:BF38" si="136">AV26*(1+$BA26)</f>
        <v>1650.0000000000002</v>
      </c>
      <c r="BG26" s="76">
        <f t="shared" ref="BG26:BG38" si="137">AW26*(1+$BA26)</f>
        <v>3300.0000000000005</v>
      </c>
      <c r="BH26" s="76">
        <f t="shared" si="6"/>
        <v>2475</v>
      </c>
      <c r="BI26" s="4">
        <v>20</v>
      </c>
      <c r="BJ26" s="76">
        <f>BE26*0.25</f>
        <v>1732.5000000000002</v>
      </c>
      <c r="BK26" s="76">
        <f t="shared" si="7"/>
        <v>1732.5000000000002</v>
      </c>
      <c r="BL26" s="116">
        <f t="shared" si="8"/>
        <v>652.96102907747365</v>
      </c>
      <c r="BM26" s="4">
        <f t="shared" si="9"/>
        <v>639.26099999999997</v>
      </c>
      <c r="BN26" s="4">
        <f t="shared" si="65"/>
        <v>289.96878959999998</v>
      </c>
      <c r="BO26" s="4">
        <f t="shared" si="10"/>
        <v>106.54350000000001</v>
      </c>
      <c r="BP26" s="4">
        <f t="shared" si="66"/>
        <v>48.328131600000006</v>
      </c>
      <c r="BQ26" s="335">
        <f t="shared" si="11"/>
        <v>639.26099999999997</v>
      </c>
      <c r="BR26" s="335">
        <f t="shared" si="12"/>
        <v>289.96878959999998</v>
      </c>
      <c r="BS26" s="335">
        <f t="shared" si="13"/>
        <v>106.54350000000001</v>
      </c>
      <c r="BT26" s="335">
        <f t="shared" si="14"/>
        <v>48.328131600000006</v>
      </c>
      <c r="BU26" s="76" t="str">
        <f t="shared" si="15"/>
        <v>N/A</v>
      </c>
      <c r="BV26" s="116">
        <f t="shared" si="16"/>
        <v>209.06938153325308</v>
      </c>
      <c r="BW26" s="88">
        <f t="shared" si="17"/>
        <v>11.86207359603898</v>
      </c>
      <c r="BX26" s="89">
        <f t="shared" si="18"/>
        <v>48.249417057800279</v>
      </c>
      <c r="BY26" s="89">
        <f t="shared" si="19"/>
        <v>60.111490653839262</v>
      </c>
      <c r="BZ26" s="89">
        <f t="shared" si="20"/>
        <v>26.150955899556838</v>
      </c>
      <c r="CA26" s="89">
        <f t="shared" si="21"/>
        <v>106.3699670586426</v>
      </c>
      <c r="CB26" s="89">
        <f t="shared" si="22"/>
        <v>132.52092295819944</v>
      </c>
      <c r="CC26" s="89">
        <f t="shared" si="23"/>
        <v>71.172441576233879</v>
      </c>
      <c r="CD26" s="89">
        <f t="shared" si="24"/>
        <v>289.49650234680166</v>
      </c>
      <c r="CE26" s="89">
        <f t="shared" si="25"/>
        <v>360.66894392303556</v>
      </c>
      <c r="CF26" s="89">
        <f t="shared" si="26"/>
        <v>156.90573539734098</v>
      </c>
      <c r="CG26" s="89">
        <f t="shared" si="27"/>
        <v>638.21980235185549</v>
      </c>
      <c r="CH26" s="89">
        <f t="shared" si="28"/>
        <v>795.1255377491965</v>
      </c>
      <c r="CI26" s="41">
        <f t="shared" si="82"/>
        <v>689.38402880958188</v>
      </c>
      <c r="CJ26" s="41">
        <f t="shared" si="83"/>
        <v>1838.3574101588854</v>
      </c>
      <c r="CK26" s="41">
        <f t="shared" si="84"/>
        <v>4136.3041728574908</v>
      </c>
      <c r="CL26" s="41">
        <f t="shared" si="85"/>
        <v>11030.14446095331</v>
      </c>
      <c r="CM26" s="359">
        <f t="shared" si="29"/>
        <v>11.86207359603898</v>
      </c>
      <c r="CN26" s="210">
        <f t="shared" si="30"/>
        <v>48.249417057800279</v>
      </c>
      <c r="CO26" s="210">
        <f t="shared" si="51"/>
        <v>60.111490653839262</v>
      </c>
      <c r="CP26" s="210">
        <f t="shared" si="32"/>
        <v>26.150955899556838</v>
      </c>
      <c r="CQ26" s="210">
        <f t="shared" si="33"/>
        <v>106.3699670586426</v>
      </c>
      <c r="CR26" s="210">
        <f t="shared" si="52"/>
        <v>132.52092295819944</v>
      </c>
      <c r="CS26" s="210">
        <f t="shared" si="35"/>
        <v>71.172441576233879</v>
      </c>
      <c r="CT26" s="210">
        <f t="shared" si="36"/>
        <v>289.49650234680166</v>
      </c>
      <c r="CU26" s="210">
        <f t="shared" si="53"/>
        <v>360.66894392303556</v>
      </c>
      <c r="CV26" s="210">
        <f t="shared" si="38"/>
        <v>156.90573539734098</v>
      </c>
      <c r="CW26" s="210">
        <f t="shared" si="39"/>
        <v>638.21980235185549</v>
      </c>
      <c r="CX26" s="210">
        <f t="shared" si="54"/>
        <v>795.1255377491965</v>
      </c>
      <c r="CY26" s="299" t="s">
        <v>122</v>
      </c>
      <c r="CZ26" s="298" t="s">
        <v>57</v>
      </c>
      <c r="DA26" s="298" t="s">
        <v>57</v>
      </c>
      <c r="DB26" s="298" t="s">
        <v>345</v>
      </c>
      <c r="DC26" s="298" t="s">
        <v>56</v>
      </c>
      <c r="DD26" s="279" t="s">
        <v>257</v>
      </c>
      <c r="DE26" s="279" t="s">
        <v>484</v>
      </c>
      <c r="DF26" s="298" t="s">
        <v>57</v>
      </c>
      <c r="DG26" s="298" t="s">
        <v>56</v>
      </c>
      <c r="DH26" s="298" t="s">
        <v>56</v>
      </c>
      <c r="DI26" s="298" t="s">
        <v>57</v>
      </c>
      <c r="DJ26" s="279" t="s">
        <v>380</v>
      </c>
      <c r="DK26" s="280" t="s">
        <v>373</v>
      </c>
      <c r="DL26" s="279" t="s">
        <v>365</v>
      </c>
      <c r="DM26" s="279" t="s">
        <v>380</v>
      </c>
      <c r="DN26" s="280" t="s">
        <v>552</v>
      </c>
      <c r="DO26" s="279" t="s">
        <v>103</v>
      </c>
      <c r="DP26" s="279" t="s">
        <v>104</v>
      </c>
      <c r="DQ26" s="109"/>
      <c r="DR26" s="28"/>
      <c r="DS26" s="28"/>
      <c r="DT26" s="28"/>
      <c r="DU26" s="28"/>
      <c r="DV26" s="28"/>
      <c r="DW26" s="28"/>
      <c r="DX26" s="28"/>
      <c r="DY26" s="28"/>
    </row>
    <row r="27" spans="1:129" ht="297" customHeight="1" x14ac:dyDescent="0.2">
      <c r="A27" s="509" t="s">
        <v>22</v>
      </c>
      <c r="B27" s="13" t="s">
        <v>352</v>
      </c>
      <c r="C27" s="84"/>
      <c r="D27" s="241">
        <v>300</v>
      </c>
      <c r="E27" s="370" t="s">
        <v>739</v>
      </c>
      <c r="F27" s="280" t="s">
        <v>105</v>
      </c>
      <c r="G27" s="280" t="s">
        <v>106</v>
      </c>
      <c r="H27" s="286" t="s">
        <v>86</v>
      </c>
      <c r="I27" s="285" t="s">
        <v>503</v>
      </c>
      <c r="J27" s="279" t="s">
        <v>107</v>
      </c>
      <c r="K27" s="265" t="s">
        <v>671</v>
      </c>
      <c r="L27" s="280" t="s">
        <v>11</v>
      </c>
      <c r="M27" s="320">
        <v>160</v>
      </c>
      <c r="N27" s="315" t="s">
        <v>77</v>
      </c>
      <c r="O27" s="11" t="s">
        <v>77</v>
      </c>
      <c r="P27" s="316">
        <f>M27/$P$2</f>
        <v>1</v>
      </c>
      <c r="Q27" s="267">
        <f>$W$100</f>
        <v>26.25</v>
      </c>
      <c r="R27" s="267">
        <f>$X$100</f>
        <v>6</v>
      </c>
      <c r="S27" s="4">
        <v>70</v>
      </c>
      <c r="T27" s="4">
        <v>80</v>
      </c>
      <c r="U27" s="4">
        <v>25</v>
      </c>
      <c r="V27" s="4">
        <v>50</v>
      </c>
      <c r="W27" s="194">
        <f t="shared" si="42"/>
        <v>0.61904761904761907</v>
      </c>
      <c r="X27" s="51" t="s">
        <v>387</v>
      </c>
      <c r="Y27" s="150">
        <f t="shared" si="98"/>
        <v>8.9496540000000007</v>
      </c>
      <c r="Z27" s="150">
        <f t="shared" si="99"/>
        <v>10.228176000000001</v>
      </c>
      <c r="AA27" s="150">
        <f t="shared" si="43"/>
        <v>4.0595630544000008</v>
      </c>
      <c r="AB27" s="150">
        <f t="shared" si="102"/>
        <v>4.6395006336000009</v>
      </c>
      <c r="AC27" s="150">
        <f t="shared" si="103"/>
        <v>4.3495318440000013</v>
      </c>
      <c r="AD27" s="150">
        <f t="shared" si="100"/>
        <v>0.73058400000000001</v>
      </c>
      <c r="AE27" s="150">
        <f t="shared" si="101"/>
        <v>1.461168</v>
      </c>
      <c r="AF27" s="150">
        <f t="shared" si="104"/>
        <v>0.33139290240000002</v>
      </c>
      <c r="AG27" s="150">
        <f t="shared" si="105"/>
        <v>0.66278580480000004</v>
      </c>
      <c r="AH27" s="76">
        <v>10000</v>
      </c>
      <c r="AI27" s="76">
        <v>15000</v>
      </c>
      <c r="AJ27" s="76">
        <f t="shared" si="55"/>
        <v>12500</v>
      </c>
      <c r="AK27" s="76">
        <f t="shared" si="126"/>
        <v>10000</v>
      </c>
      <c r="AL27" s="76">
        <f t="shared" si="127"/>
        <v>15000</v>
      </c>
      <c r="AM27" s="76">
        <f t="shared" si="4"/>
        <v>12500</v>
      </c>
      <c r="AN27" s="108">
        <v>0.6</v>
      </c>
      <c r="AO27" s="76">
        <v>0</v>
      </c>
      <c r="AP27" s="76">
        <f t="shared" si="58"/>
        <v>14000</v>
      </c>
      <c r="AQ27" s="76">
        <f t="shared" si="59"/>
        <v>21000</v>
      </c>
      <c r="AR27" s="76">
        <f t="shared" si="60"/>
        <v>17500</v>
      </c>
      <c r="AS27" s="76">
        <v>250</v>
      </c>
      <c r="AT27" s="76">
        <v>500</v>
      </c>
      <c r="AU27" s="76">
        <f t="shared" si="67"/>
        <v>375</v>
      </c>
      <c r="AV27" s="76">
        <f t="shared" si="128"/>
        <v>250</v>
      </c>
      <c r="AW27" s="76">
        <f t="shared" si="129"/>
        <v>500</v>
      </c>
      <c r="AX27" s="76">
        <f t="shared" si="5"/>
        <v>375</v>
      </c>
      <c r="AY27" s="337">
        <v>0.1</v>
      </c>
      <c r="AZ27" s="51">
        <v>-0.2</v>
      </c>
      <c r="BA27" s="51">
        <v>0.1</v>
      </c>
      <c r="BB27" s="338" t="s">
        <v>400</v>
      </c>
      <c r="BC27" s="76">
        <f t="shared" si="134"/>
        <v>11200</v>
      </c>
      <c r="BD27" s="76">
        <f t="shared" si="135"/>
        <v>16800</v>
      </c>
      <c r="BE27" s="76">
        <f t="shared" si="48"/>
        <v>14000</v>
      </c>
      <c r="BF27" s="76">
        <f t="shared" si="136"/>
        <v>275</v>
      </c>
      <c r="BG27" s="76">
        <f t="shared" si="137"/>
        <v>550</v>
      </c>
      <c r="BH27" s="76">
        <f t="shared" si="6"/>
        <v>412.50000000000006</v>
      </c>
      <c r="BI27" s="4">
        <v>20</v>
      </c>
      <c r="BJ27" s="76">
        <f>BE27*0.75</f>
        <v>10500</v>
      </c>
      <c r="BK27" s="76">
        <f t="shared" si="7"/>
        <v>10500</v>
      </c>
      <c r="BL27" s="116">
        <f t="shared" si="8"/>
        <v>3957.3395701665063</v>
      </c>
      <c r="BM27" s="4">
        <f t="shared" si="9"/>
        <v>191.7783</v>
      </c>
      <c r="BN27" s="4">
        <f t="shared" si="65"/>
        <v>86.990636879999997</v>
      </c>
      <c r="BO27" s="4">
        <f t="shared" si="10"/>
        <v>21.917520000000003</v>
      </c>
      <c r="BP27" s="4">
        <f t="shared" si="66"/>
        <v>9.9417870720000021</v>
      </c>
      <c r="BQ27" s="335">
        <f t="shared" si="11"/>
        <v>191.7783</v>
      </c>
      <c r="BR27" s="335">
        <f t="shared" si="12"/>
        <v>86.990636879999997</v>
      </c>
      <c r="BS27" s="335">
        <f t="shared" si="13"/>
        <v>21.917520000000003</v>
      </c>
      <c r="BT27" s="335">
        <f t="shared" si="14"/>
        <v>9.9417870720000021</v>
      </c>
      <c r="BU27" s="76" t="str">
        <f t="shared" si="15"/>
        <v>N/A</v>
      </c>
      <c r="BV27" s="116">
        <f t="shared" si="16"/>
        <v>353.16341176739689</v>
      </c>
      <c r="BW27" s="88">
        <f t="shared" si="17"/>
        <v>93.635930499782859</v>
      </c>
      <c r="BX27" s="89">
        <f t="shared" si="18"/>
        <v>26.805231698777938</v>
      </c>
      <c r="BY27" s="89">
        <f t="shared" si="19"/>
        <v>120.44116219856079</v>
      </c>
      <c r="BZ27" s="89">
        <f t="shared" si="20"/>
        <v>206.42841820939785</v>
      </c>
      <c r="CA27" s="89">
        <f t="shared" si="21"/>
        <v>59.094426143690342</v>
      </c>
      <c r="CB27" s="89">
        <f t="shared" si="22"/>
        <v>265.5228443530882</v>
      </c>
      <c r="CC27" s="89">
        <f t="shared" si="23"/>
        <v>819.31439187309991</v>
      </c>
      <c r="CD27" s="89">
        <f t="shared" si="24"/>
        <v>234.54577736430693</v>
      </c>
      <c r="CE27" s="89">
        <f t="shared" si="25"/>
        <v>1053.8601692374068</v>
      </c>
      <c r="CF27" s="89">
        <f t="shared" si="26"/>
        <v>1806.2486593322308</v>
      </c>
      <c r="CG27" s="89">
        <f t="shared" si="27"/>
        <v>517.07622875729032</v>
      </c>
      <c r="CH27" s="89">
        <f t="shared" si="28"/>
        <v>2323.3248880895212</v>
      </c>
      <c r="CI27" s="41">
        <f t="shared" si="82"/>
        <v>1430.0797956740766</v>
      </c>
      <c r="CJ27" s="41">
        <f t="shared" si="83"/>
        <v>2643.0313047182599</v>
      </c>
      <c r="CK27" s="41">
        <f t="shared" si="84"/>
        <v>10010.558569718538</v>
      </c>
      <c r="CL27" s="41">
        <f t="shared" si="85"/>
        <v>32377.133482798683</v>
      </c>
      <c r="CM27" s="359">
        <f t="shared" si="29"/>
        <v>93.635930499782859</v>
      </c>
      <c r="CN27" s="210">
        <f t="shared" si="30"/>
        <v>26.805231698777938</v>
      </c>
      <c r="CO27" s="210">
        <f t="shared" si="51"/>
        <v>120.44116219856079</v>
      </c>
      <c r="CP27" s="210">
        <f t="shared" si="32"/>
        <v>206.42841820939785</v>
      </c>
      <c r="CQ27" s="210">
        <f t="shared" si="33"/>
        <v>59.094426143690342</v>
      </c>
      <c r="CR27" s="210">
        <f t="shared" si="52"/>
        <v>265.5228443530882</v>
      </c>
      <c r="CS27" s="210">
        <f t="shared" si="35"/>
        <v>819.31439187309991</v>
      </c>
      <c r="CT27" s="210">
        <f t="shared" si="36"/>
        <v>234.54577736430693</v>
      </c>
      <c r="CU27" s="210">
        <f t="shared" si="53"/>
        <v>1053.8601692374068</v>
      </c>
      <c r="CV27" s="210">
        <f t="shared" si="38"/>
        <v>1806.2486593322308</v>
      </c>
      <c r="CW27" s="210">
        <f t="shared" si="39"/>
        <v>517.07622875729032</v>
      </c>
      <c r="CX27" s="210">
        <f t="shared" si="54"/>
        <v>2323.3248880895212</v>
      </c>
      <c r="CY27" s="299" t="s">
        <v>122</v>
      </c>
      <c r="CZ27" s="298" t="s">
        <v>57</v>
      </c>
      <c r="DA27" s="298" t="s">
        <v>57</v>
      </c>
      <c r="DB27" s="298" t="s">
        <v>345</v>
      </c>
      <c r="DC27" s="298" t="s">
        <v>56</v>
      </c>
      <c r="DD27" s="279" t="s">
        <v>108</v>
      </c>
      <c r="DE27" s="279" t="s">
        <v>109</v>
      </c>
      <c r="DF27" s="298" t="s">
        <v>57</v>
      </c>
      <c r="DG27" s="298" t="s">
        <v>57</v>
      </c>
      <c r="DH27" s="298" t="s">
        <v>56</v>
      </c>
      <c r="DI27" s="298" t="s">
        <v>57</v>
      </c>
      <c r="DJ27" s="279" t="s">
        <v>375</v>
      </c>
      <c r="DK27" s="83" t="s">
        <v>376</v>
      </c>
      <c r="DL27" s="279" t="s">
        <v>365</v>
      </c>
      <c r="DM27" s="279" t="s">
        <v>375</v>
      </c>
      <c r="DN27" s="83" t="s">
        <v>376</v>
      </c>
      <c r="DO27" s="279" t="s">
        <v>549</v>
      </c>
      <c r="DP27" s="279" t="s">
        <v>487</v>
      </c>
      <c r="DQ27" s="109" t="s">
        <v>110</v>
      </c>
      <c r="DR27" s="28"/>
      <c r="DS27" s="28"/>
      <c r="DT27" s="28"/>
      <c r="DU27" s="28"/>
      <c r="DV27" s="28"/>
      <c r="DW27" s="28"/>
      <c r="DX27" s="28"/>
      <c r="DY27" s="28"/>
    </row>
    <row r="28" spans="1:129" ht="188.25" customHeight="1" x14ac:dyDescent="0.2">
      <c r="A28" s="509"/>
      <c r="B28" s="13" t="s">
        <v>353</v>
      </c>
      <c r="C28" s="84"/>
      <c r="D28" s="241">
        <v>301</v>
      </c>
      <c r="E28" s="370" t="s">
        <v>740</v>
      </c>
      <c r="F28" s="280" t="s">
        <v>105</v>
      </c>
      <c r="G28" s="280" t="s">
        <v>106</v>
      </c>
      <c r="H28" s="286" t="s">
        <v>86</v>
      </c>
      <c r="I28" s="285" t="s">
        <v>503</v>
      </c>
      <c r="J28" s="279" t="s">
        <v>107</v>
      </c>
      <c r="K28" s="265" t="s">
        <v>672</v>
      </c>
      <c r="L28" s="280" t="s">
        <v>11</v>
      </c>
      <c r="M28" s="320">
        <v>160</v>
      </c>
      <c r="N28" s="315" t="s">
        <v>77</v>
      </c>
      <c r="O28" s="11" t="s">
        <v>77</v>
      </c>
      <c r="P28" s="316">
        <f>M28/$P$2</f>
        <v>1</v>
      </c>
      <c r="Q28" s="267">
        <f>$W$100</f>
        <v>26.25</v>
      </c>
      <c r="R28" s="267">
        <f>$X$100</f>
        <v>6</v>
      </c>
      <c r="S28" s="4">
        <v>70</v>
      </c>
      <c r="T28" s="4">
        <v>80</v>
      </c>
      <c r="U28" s="4">
        <v>85</v>
      </c>
      <c r="V28" s="4">
        <v>95</v>
      </c>
      <c r="W28" s="194">
        <f t="shared" si="42"/>
        <v>0.61904761904761907</v>
      </c>
      <c r="X28" s="51" t="s">
        <v>387</v>
      </c>
      <c r="Y28" s="150">
        <f t="shared" si="98"/>
        <v>8.9496540000000007</v>
      </c>
      <c r="Z28" s="150">
        <f t="shared" si="99"/>
        <v>10.228176000000001</v>
      </c>
      <c r="AA28" s="150">
        <f t="shared" si="43"/>
        <v>4.0595630544000008</v>
      </c>
      <c r="AB28" s="150">
        <f t="shared" si="102"/>
        <v>4.6395006336000009</v>
      </c>
      <c r="AC28" s="150">
        <f t="shared" si="103"/>
        <v>4.3495318440000013</v>
      </c>
      <c r="AD28" s="150">
        <f t="shared" si="100"/>
        <v>2.4839856</v>
      </c>
      <c r="AE28" s="150">
        <f t="shared" si="101"/>
        <v>2.7762191999999999</v>
      </c>
      <c r="AF28" s="150">
        <f t="shared" si="104"/>
        <v>1.1267358681599999</v>
      </c>
      <c r="AG28" s="150">
        <f t="shared" si="105"/>
        <v>1.25929302912</v>
      </c>
      <c r="AH28" s="76">
        <v>8000</v>
      </c>
      <c r="AI28" s="76">
        <v>15000</v>
      </c>
      <c r="AJ28" s="76">
        <f t="shared" si="55"/>
        <v>11500</v>
      </c>
      <c r="AK28" s="76">
        <f t="shared" si="126"/>
        <v>8000</v>
      </c>
      <c r="AL28" s="76">
        <f t="shared" si="127"/>
        <v>15000</v>
      </c>
      <c r="AM28" s="76">
        <f t="shared" si="4"/>
        <v>11500</v>
      </c>
      <c r="AN28" s="108">
        <v>0.6</v>
      </c>
      <c r="AO28" s="76">
        <v>0</v>
      </c>
      <c r="AP28" s="76">
        <f t="shared" si="58"/>
        <v>11200</v>
      </c>
      <c r="AQ28" s="76">
        <f t="shared" si="59"/>
        <v>21000</v>
      </c>
      <c r="AR28" s="76">
        <f t="shared" si="60"/>
        <v>16100</v>
      </c>
      <c r="AS28" s="76">
        <v>750</v>
      </c>
      <c r="AT28" s="76">
        <v>1000</v>
      </c>
      <c r="AU28" s="76">
        <f t="shared" si="67"/>
        <v>875</v>
      </c>
      <c r="AV28" s="76">
        <f t="shared" si="128"/>
        <v>750</v>
      </c>
      <c r="AW28" s="76">
        <f t="shared" si="129"/>
        <v>1000</v>
      </c>
      <c r="AX28" s="76">
        <f t="shared" si="5"/>
        <v>875</v>
      </c>
      <c r="AY28" s="337">
        <v>0.1</v>
      </c>
      <c r="AZ28" s="51">
        <v>-0.2</v>
      </c>
      <c r="BA28" s="51">
        <v>0.1</v>
      </c>
      <c r="BB28" s="338" t="s">
        <v>400</v>
      </c>
      <c r="BC28" s="76">
        <f t="shared" si="134"/>
        <v>8960</v>
      </c>
      <c r="BD28" s="76">
        <f t="shared" si="135"/>
        <v>16800</v>
      </c>
      <c r="BE28" s="76">
        <f t="shared" si="48"/>
        <v>12880</v>
      </c>
      <c r="BF28" s="76">
        <f t="shared" si="136"/>
        <v>825.00000000000011</v>
      </c>
      <c r="BG28" s="76">
        <f t="shared" si="137"/>
        <v>1100</v>
      </c>
      <c r="BH28" s="76">
        <f t="shared" si="6"/>
        <v>962.50000000000011</v>
      </c>
      <c r="BI28" s="4">
        <v>20</v>
      </c>
      <c r="BJ28" s="76">
        <f>BE28*0.75</f>
        <v>9660</v>
      </c>
      <c r="BK28" s="76">
        <f t="shared" si="7"/>
        <v>9660</v>
      </c>
      <c r="BL28" s="116">
        <f t="shared" si="8"/>
        <v>3640.7524045531859</v>
      </c>
      <c r="BM28" s="4">
        <f t="shared" si="9"/>
        <v>191.7783</v>
      </c>
      <c r="BN28" s="4">
        <f t="shared" si="65"/>
        <v>86.990636879999997</v>
      </c>
      <c r="BO28" s="4">
        <f t="shared" si="10"/>
        <v>52.602048000000003</v>
      </c>
      <c r="BP28" s="4">
        <f t="shared" si="66"/>
        <v>23.860288972800003</v>
      </c>
      <c r="BQ28" s="335">
        <f t="shared" si="11"/>
        <v>191.7783</v>
      </c>
      <c r="BR28" s="335">
        <f t="shared" si="12"/>
        <v>86.990636879999997</v>
      </c>
      <c r="BS28" s="335">
        <f t="shared" si="13"/>
        <v>52.602048000000003</v>
      </c>
      <c r="BT28" s="335">
        <f t="shared" si="14"/>
        <v>23.860288972800003</v>
      </c>
      <c r="BU28" s="76" t="str">
        <f t="shared" si="15"/>
        <v>N/A</v>
      </c>
      <c r="BV28" s="116">
        <f t="shared" si="16"/>
        <v>458.9477527155538</v>
      </c>
      <c r="BW28" s="88">
        <f t="shared" si="17"/>
        <v>86.145056059800226</v>
      </c>
      <c r="BX28" s="89">
        <f t="shared" si="18"/>
        <v>62.545540630481845</v>
      </c>
      <c r="BY28" s="89">
        <f t="shared" si="19"/>
        <v>148.69059669028206</v>
      </c>
      <c r="BZ28" s="89">
        <f t="shared" si="20"/>
        <v>189.91414475264602</v>
      </c>
      <c r="CA28" s="89">
        <f t="shared" si="21"/>
        <v>137.88699433527745</v>
      </c>
      <c r="CB28" s="89">
        <f t="shared" si="22"/>
        <v>327.8011390879235</v>
      </c>
      <c r="CC28" s="89">
        <f t="shared" si="23"/>
        <v>314.07051688468829</v>
      </c>
      <c r="CD28" s="89">
        <f t="shared" si="24"/>
        <v>228.03061688196505</v>
      </c>
      <c r="CE28" s="89">
        <f t="shared" si="25"/>
        <v>542.10113376665333</v>
      </c>
      <c r="CF28" s="89">
        <f t="shared" si="26"/>
        <v>692.39531941068844</v>
      </c>
      <c r="CG28" s="89">
        <f t="shared" si="27"/>
        <v>502.71300018069894</v>
      </c>
      <c r="CH28" s="89">
        <f t="shared" si="28"/>
        <v>1195.1083195913875</v>
      </c>
      <c r="CI28" s="41">
        <f t="shared" si="82"/>
        <v>1881.2077082556543</v>
      </c>
      <c r="CJ28" s="41">
        <f t="shared" si="83"/>
        <v>3408.8950675404863</v>
      </c>
      <c r="CK28" s="41">
        <f t="shared" si="84"/>
        <v>6930.7652409418861</v>
      </c>
      <c r="CL28" s="41">
        <f t="shared" si="85"/>
        <v>12282.048405109106</v>
      </c>
      <c r="CM28" s="359">
        <f t="shared" si="29"/>
        <v>86.145056059800226</v>
      </c>
      <c r="CN28" s="210">
        <f t="shared" si="30"/>
        <v>62.545540630481845</v>
      </c>
      <c r="CO28" s="210">
        <f t="shared" si="51"/>
        <v>148.69059669028206</v>
      </c>
      <c r="CP28" s="210">
        <f t="shared" si="32"/>
        <v>189.91414475264602</v>
      </c>
      <c r="CQ28" s="210">
        <f t="shared" si="33"/>
        <v>137.88699433527745</v>
      </c>
      <c r="CR28" s="210">
        <f t="shared" si="52"/>
        <v>327.8011390879235</v>
      </c>
      <c r="CS28" s="210">
        <f t="shared" si="35"/>
        <v>314.07051688468829</v>
      </c>
      <c r="CT28" s="210">
        <f t="shared" si="36"/>
        <v>228.03061688196505</v>
      </c>
      <c r="CU28" s="210">
        <f t="shared" si="53"/>
        <v>542.10113376665333</v>
      </c>
      <c r="CV28" s="210">
        <f t="shared" si="38"/>
        <v>692.39531941068844</v>
      </c>
      <c r="CW28" s="210">
        <f t="shared" si="39"/>
        <v>502.71300018069894</v>
      </c>
      <c r="CX28" s="210">
        <f t="shared" si="54"/>
        <v>1195.1083195913875</v>
      </c>
      <c r="CY28" s="299" t="s">
        <v>122</v>
      </c>
      <c r="CZ28" s="298" t="s">
        <v>57</v>
      </c>
      <c r="DA28" s="298" t="s">
        <v>57</v>
      </c>
      <c r="DB28" s="298" t="s">
        <v>345</v>
      </c>
      <c r="DC28" s="298" t="s">
        <v>56</v>
      </c>
      <c r="DD28" s="279" t="s">
        <v>296</v>
      </c>
      <c r="DE28" s="279" t="s">
        <v>283</v>
      </c>
      <c r="DF28" s="298" t="s">
        <v>57</v>
      </c>
      <c r="DG28" s="298" t="s">
        <v>57</v>
      </c>
      <c r="DH28" s="298" t="s">
        <v>56</v>
      </c>
      <c r="DI28" s="298" t="s">
        <v>57</v>
      </c>
      <c r="DJ28" s="279" t="s">
        <v>375</v>
      </c>
      <c r="DK28" s="83" t="s">
        <v>376</v>
      </c>
      <c r="DL28" s="279" t="s">
        <v>365</v>
      </c>
      <c r="DM28" s="279" t="s">
        <v>375</v>
      </c>
      <c r="DN28" s="83" t="s">
        <v>376</v>
      </c>
      <c r="DO28" s="112" t="s">
        <v>544</v>
      </c>
      <c r="DP28" s="112" t="s">
        <v>392</v>
      </c>
      <c r="DQ28" s="113" t="s">
        <v>55</v>
      </c>
      <c r="DR28" s="28"/>
      <c r="DS28" s="28"/>
      <c r="DT28" s="28"/>
      <c r="DU28" s="28"/>
      <c r="DV28" s="28"/>
      <c r="DW28" s="28"/>
      <c r="DX28" s="28"/>
      <c r="DY28" s="28"/>
    </row>
    <row r="29" spans="1:129" ht="141.75" customHeight="1" x14ac:dyDescent="0.2">
      <c r="A29" s="509"/>
      <c r="B29" s="13" t="s">
        <v>354</v>
      </c>
      <c r="C29" s="84"/>
      <c r="D29" s="241">
        <v>302</v>
      </c>
      <c r="E29" s="370" t="s">
        <v>488</v>
      </c>
      <c r="F29" s="280" t="s">
        <v>105</v>
      </c>
      <c r="G29" s="280" t="s">
        <v>106</v>
      </c>
      <c r="H29" s="286" t="s">
        <v>86</v>
      </c>
      <c r="I29" s="285" t="s">
        <v>503</v>
      </c>
      <c r="J29" s="279" t="s">
        <v>107</v>
      </c>
      <c r="K29" s="265" t="s">
        <v>673</v>
      </c>
      <c r="L29" s="280" t="s">
        <v>11</v>
      </c>
      <c r="M29" s="320">
        <v>160</v>
      </c>
      <c r="N29" s="315" t="s">
        <v>77</v>
      </c>
      <c r="O29" s="11" t="s">
        <v>77</v>
      </c>
      <c r="P29" s="316">
        <f>M29/$P$2</f>
        <v>1</v>
      </c>
      <c r="Q29" s="267">
        <f>$W$100</f>
        <v>26.25</v>
      </c>
      <c r="R29" s="267">
        <f>$X$100</f>
        <v>6</v>
      </c>
      <c r="S29" s="4">
        <v>70</v>
      </c>
      <c r="T29" s="4">
        <v>80</v>
      </c>
      <c r="U29" s="4">
        <v>85</v>
      </c>
      <c r="V29" s="4">
        <v>95</v>
      </c>
      <c r="W29" s="194">
        <f t="shared" si="42"/>
        <v>0.61904761904761907</v>
      </c>
      <c r="X29" s="51" t="s">
        <v>387</v>
      </c>
      <c r="Y29" s="150">
        <f t="shared" si="98"/>
        <v>8.9496540000000007</v>
      </c>
      <c r="Z29" s="150">
        <f t="shared" si="99"/>
        <v>10.228176000000001</v>
      </c>
      <c r="AA29" s="150">
        <f t="shared" si="43"/>
        <v>4.0595630544000008</v>
      </c>
      <c r="AB29" s="150">
        <f t="shared" ref="AB29:AB38" si="138">Z29*0.4536</f>
        <v>4.6395006336000009</v>
      </c>
      <c r="AC29" s="150">
        <f t="shared" ref="AC29:AC38" si="139">(AA29+AB29)/2</f>
        <v>4.3495318440000013</v>
      </c>
      <c r="AD29" s="150">
        <f t="shared" si="100"/>
        <v>2.4839856</v>
      </c>
      <c r="AE29" s="150">
        <f t="shared" si="101"/>
        <v>2.7762191999999999</v>
      </c>
      <c r="AF29" s="150">
        <f t="shared" ref="AF29:AF38" si="140">AD29*0.4536</f>
        <v>1.1267358681599999</v>
      </c>
      <c r="AG29" s="150">
        <f t="shared" ref="AG29:AG38" si="141">AE29*0.4536</f>
        <v>1.25929302912</v>
      </c>
      <c r="AH29" s="76">
        <v>4000</v>
      </c>
      <c r="AI29" s="76">
        <v>8000</v>
      </c>
      <c r="AJ29" s="76">
        <f t="shared" si="55"/>
        <v>6000</v>
      </c>
      <c r="AK29" s="76">
        <f t="shared" si="126"/>
        <v>4000</v>
      </c>
      <c r="AL29" s="76">
        <f t="shared" si="127"/>
        <v>8000</v>
      </c>
      <c r="AM29" s="76">
        <f t="shared" si="4"/>
        <v>6000</v>
      </c>
      <c r="AN29" s="108">
        <v>0.6</v>
      </c>
      <c r="AO29" s="76">
        <v>0</v>
      </c>
      <c r="AP29" s="76">
        <f t="shared" si="58"/>
        <v>5600</v>
      </c>
      <c r="AQ29" s="76">
        <f t="shared" si="59"/>
        <v>11200</v>
      </c>
      <c r="AR29" s="76">
        <f t="shared" si="60"/>
        <v>8400</v>
      </c>
      <c r="AS29" s="76">
        <v>500</v>
      </c>
      <c r="AT29" s="76">
        <v>750</v>
      </c>
      <c r="AU29" s="76">
        <f t="shared" si="67"/>
        <v>625</v>
      </c>
      <c r="AV29" s="76">
        <f t="shared" si="128"/>
        <v>500</v>
      </c>
      <c r="AW29" s="76">
        <f t="shared" si="129"/>
        <v>750</v>
      </c>
      <c r="AX29" s="76">
        <f t="shared" si="5"/>
        <v>625</v>
      </c>
      <c r="AY29" s="337">
        <v>0.1</v>
      </c>
      <c r="AZ29" s="51">
        <v>-0.2</v>
      </c>
      <c r="BA29" s="51">
        <v>0.1</v>
      </c>
      <c r="BB29" s="338" t="s">
        <v>400</v>
      </c>
      <c r="BC29" s="76">
        <f t="shared" si="134"/>
        <v>4480</v>
      </c>
      <c r="BD29" s="76">
        <f t="shared" si="135"/>
        <v>8960</v>
      </c>
      <c r="BE29" s="76">
        <f t="shared" si="48"/>
        <v>6720</v>
      </c>
      <c r="BF29" s="76">
        <f t="shared" si="136"/>
        <v>550</v>
      </c>
      <c r="BG29" s="76">
        <f t="shared" si="137"/>
        <v>825.00000000000011</v>
      </c>
      <c r="BH29" s="76">
        <f t="shared" si="6"/>
        <v>687.5</v>
      </c>
      <c r="BI29" s="4">
        <v>20</v>
      </c>
      <c r="BJ29" s="76">
        <f>BE29*0.75</f>
        <v>5040</v>
      </c>
      <c r="BK29" s="76">
        <f t="shared" si="7"/>
        <v>5040</v>
      </c>
      <c r="BL29" s="116">
        <f t="shared" si="8"/>
        <v>1899.522993679923</v>
      </c>
      <c r="BM29" s="4">
        <f t="shared" si="9"/>
        <v>191.7783</v>
      </c>
      <c r="BN29" s="4">
        <f t="shared" si="65"/>
        <v>86.990636879999997</v>
      </c>
      <c r="BO29" s="4">
        <f t="shared" si="10"/>
        <v>52.602048000000003</v>
      </c>
      <c r="BP29" s="4">
        <f t="shared" si="66"/>
        <v>23.860288972800003</v>
      </c>
      <c r="BQ29" s="335">
        <f t="shared" si="11"/>
        <v>191.7783</v>
      </c>
      <c r="BR29" s="335">
        <f t="shared" si="12"/>
        <v>86.990636879999997</v>
      </c>
      <c r="BS29" s="335">
        <f t="shared" si="13"/>
        <v>52.602048000000003</v>
      </c>
      <c r="BT29" s="335">
        <f t="shared" si="14"/>
        <v>23.860288972800003</v>
      </c>
      <c r="BU29" s="76" t="str">
        <f t="shared" si="15"/>
        <v>N/A</v>
      </c>
      <c r="BV29" s="116">
        <f t="shared" si="16"/>
        <v>282.0592851593866</v>
      </c>
      <c r="BW29" s="88">
        <f t="shared" si="17"/>
        <v>44.945246639895764</v>
      </c>
      <c r="BX29" s="89">
        <f t="shared" si="18"/>
        <v>44.675386164629884</v>
      </c>
      <c r="BY29" s="89">
        <f t="shared" si="19"/>
        <v>89.620632804525656</v>
      </c>
      <c r="BZ29" s="89">
        <f t="shared" si="20"/>
        <v>99.085640740510954</v>
      </c>
      <c r="CA29" s="89">
        <f t="shared" si="21"/>
        <v>98.490710239483874</v>
      </c>
      <c r="CB29" s="89">
        <f t="shared" si="22"/>
        <v>197.57635097999483</v>
      </c>
      <c r="CC29" s="89">
        <f t="shared" si="23"/>
        <v>163.86287837461998</v>
      </c>
      <c r="CD29" s="89">
        <f t="shared" si="24"/>
        <v>162.87901205854644</v>
      </c>
      <c r="CE29" s="89">
        <f t="shared" si="25"/>
        <v>326.74189043316642</v>
      </c>
      <c r="CF29" s="89">
        <f t="shared" si="26"/>
        <v>361.24973186644615</v>
      </c>
      <c r="CG29" s="89">
        <f t="shared" si="27"/>
        <v>359.08071441478489</v>
      </c>
      <c r="CH29" s="89">
        <f t="shared" si="28"/>
        <v>720.33044628123105</v>
      </c>
      <c r="CI29" s="41">
        <f t="shared" si="82"/>
        <v>1108.1365522451893</v>
      </c>
      <c r="CJ29" s="41">
        <f t="shared" si="83"/>
        <v>2149.951666577891</v>
      </c>
      <c r="CK29" s="41">
        <f t="shared" si="84"/>
        <v>4082.6083503770137</v>
      </c>
      <c r="CL29" s="41">
        <f t="shared" si="85"/>
        <v>7746.1493869350479</v>
      </c>
      <c r="CM29" s="359">
        <f t="shared" si="29"/>
        <v>44.945246639895764</v>
      </c>
      <c r="CN29" s="210">
        <f t="shared" si="30"/>
        <v>44.675386164629884</v>
      </c>
      <c r="CO29" s="210">
        <f t="shared" si="51"/>
        <v>89.620632804525656</v>
      </c>
      <c r="CP29" s="210">
        <f t="shared" si="32"/>
        <v>99.085640740510954</v>
      </c>
      <c r="CQ29" s="210">
        <f t="shared" si="33"/>
        <v>98.490710239483874</v>
      </c>
      <c r="CR29" s="210">
        <f t="shared" si="52"/>
        <v>197.57635097999483</v>
      </c>
      <c r="CS29" s="210">
        <f t="shared" si="35"/>
        <v>163.86287837461998</v>
      </c>
      <c r="CT29" s="210">
        <f t="shared" si="36"/>
        <v>162.87901205854644</v>
      </c>
      <c r="CU29" s="210">
        <f t="shared" si="53"/>
        <v>326.74189043316642</v>
      </c>
      <c r="CV29" s="210">
        <f t="shared" si="38"/>
        <v>361.24973186644615</v>
      </c>
      <c r="CW29" s="210">
        <f t="shared" si="39"/>
        <v>359.08071441478489</v>
      </c>
      <c r="CX29" s="210">
        <f t="shared" si="54"/>
        <v>720.33044628123105</v>
      </c>
      <c r="CY29" s="299" t="s">
        <v>122</v>
      </c>
      <c r="CZ29" s="298" t="s">
        <v>57</v>
      </c>
      <c r="DA29" s="298" t="s">
        <v>57</v>
      </c>
      <c r="DB29" s="298" t="s">
        <v>345</v>
      </c>
      <c r="DC29" s="298" t="s">
        <v>56</v>
      </c>
      <c r="DD29" s="279" t="s">
        <v>111</v>
      </c>
      <c r="DE29" s="279" t="s">
        <v>258</v>
      </c>
      <c r="DF29" s="298" t="s">
        <v>57</v>
      </c>
      <c r="DG29" s="298" t="s">
        <v>57</v>
      </c>
      <c r="DH29" s="298" t="s">
        <v>56</v>
      </c>
      <c r="DI29" s="298" t="s">
        <v>57</v>
      </c>
      <c r="DJ29" s="279" t="s">
        <v>375</v>
      </c>
      <c r="DK29" s="83" t="s">
        <v>376</v>
      </c>
      <c r="DL29" s="279" t="s">
        <v>365</v>
      </c>
      <c r="DM29" s="279" t="s">
        <v>375</v>
      </c>
      <c r="DN29" s="83" t="s">
        <v>376</v>
      </c>
      <c r="DO29" s="279" t="s">
        <v>543</v>
      </c>
      <c r="DP29" s="279" t="s">
        <v>393</v>
      </c>
      <c r="DQ29" s="109" t="s">
        <v>112</v>
      </c>
      <c r="DR29" s="28"/>
      <c r="DS29" s="28"/>
      <c r="DT29" s="28"/>
      <c r="DU29" s="28"/>
      <c r="DV29" s="28"/>
      <c r="DW29" s="28"/>
      <c r="DX29" s="28"/>
      <c r="DY29" s="28"/>
    </row>
    <row r="30" spans="1:129" ht="165" customHeight="1" x14ac:dyDescent="0.2">
      <c r="A30" s="509"/>
      <c r="B30" s="13" t="s">
        <v>355</v>
      </c>
      <c r="C30" s="84"/>
      <c r="D30" s="241">
        <v>303</v>
      </c>
      <c r="E30" s="370" t="s">
        <v>741</v>
      </c>
      <c r="F30" s="280" t="s">
        <v>105</v>
      </c>
      <c r="G30" s="280" t="s">
        <v>106</v>
      </c>
      <c r="H30" s="286" t="s">
        <v>86</v>
      </c>
      <c r="I30" s="285" t="s">
        <v>503</v>
      </c>
      <c r="J30" s="279" t="s">
        <v>107</v>
      </c>
      <c r="K30" s="265" t="s">
        <v>674</v>
      </c>
      <c r="L30" s="280" t="s">
        <v>11</v>
      </c>
      <c r="M30" s="320">
        <v>160</v>
      </c>
      <c r="N30" s="315" t="s">
        <v>77</v>
      </c>
      <c r="O30" s="11" t="s">
        <v>77</v>
      </c>
      <c r="P30" s="316">
        <f>M30/$P$2</f>
        <v>1</v>
      </c>
      <c r="Q30" s="267">
        <f>$W$100</f>
        <v>26.25</v>
      </c>
      <c r="R30" s="267">
        <f>$X$100-2</f>
        <v>4</v>
      </c>
      <c r="S30" s="4">
        <v>40</v>
      </c>
      <c r="T30" s="4">
        <v>60</v>
      </c>
      <c r="U30" s="4">
        <v>25</v>
      </c>
      <c r="V30" s="4">
        <v>50</v>
      </c>
      <c r="W30" s="194">
        <f t="shared" si="42"/>
        <v>0.23809523809523808</v>
      </c>
      <c r="X30" s="51" t="s">
        <v>387</v>
      </c>
      <c r="Y30" s="150">
        <f t="shared" si="98"/>
        <v>5.1140880000000006</v>
      </c>
      <c r="Z30" s="150">
        <f t="shared" si="99"/>
        <v>7.671132000000001</v>
      </c>
      <c r="AA30" s="150">
        <f t="shared" si="43"/>
        <v>2.3197503168000004</v>
      </c>
      <c r="AB30" s="150">
        <f t="shared" si="138"/>
        <v>3.4796254752000007</v>
      </c>
      <c r="AC30" s="150">
        <f t="shared" si="139"/>
        <v>2.8996878960000005</v>
      </c>
      <c r="AD30" s="150">
        <f t="shared" si="100"/>
        <v>0.48705600000000004</v>
      </c>
      <c r="AE30" s="150">
        <f t="shared" si="101"/>
        <v>0.97411200000000009</v>
      </c>
      <c r="AF30" s="150">
        <f t="shared" si="140"/>
        <v>0.22092860160000002</v>
      </c>
      <c r="AG30" s="150">
        <f t="shared" si="141"/>
        <v>0.44185720320000005</v>
      </c>
      <c r="AH30" s="76">
        <v>8000</v>
      </c>
      <c r="AI30" s="76">
        <v>12000</v>
      </c>
      <c r="AJ30" s="76">
        <f t="shared" si="55"/>
        <v>10000</v>
      </c>
      <c r="AK30" s="76">
        <f t="shared" si="126"/>
        <v>8000</v>
      </c>
      <c r="AL30" s="76">
        <f t="shared" si="127"/>
        <v>12000</v>
      </c>
      <c r="AM30" s="76">
        <f t="shared" si="4"/>
        <v>10000</v>
      </c>
      <c r="AN30" s="108">
        <v>0.6</v>
      </c>
      <c r="AO30" s="76">
        <v>0</v>
      </c>
      <c r="AP30" s="76">
        <f t="shared" si="58"/>
        <v>11200</v>
      </c>
      <c r="AQ30" s="76">
        <f t="shared" si="59"/>
        <v>16800</v>
      </c>
      <c r="AR30" s="76">
        <f t="shared" si="60"/>
        <v>14000</v>
      </c>
      <c r="AS30" s="76">
        <v>270</v>
      </c>
      <c r="AT30" s="76">
        <v>450</v>
      </c>
      <c r="AU30" s="76">
        <f t="shared" si="67"/>
        <v>360</v>
      </c>
      <c r="AV30" s="76">
        <f t="shared" si="128"/>
        <v>270</v>
      </c>
      <c r="AW30" s="76">
        <f t="shared" si="129"/>
        <v>450</v>
      </c>
      <c r="AX30" s="76">
        <f t="shared" si="5"/>
        <v>360</v>
      </c>
      <c r="AY30" s="337">
        <v>0.25</v>
      </c>
      <c r="AZ30" s="51">
        <v>-0.2</v>
      </c>
      <c r="BA30" s="51">
        <v>0.1</v>
      </c>
      <c r="BB30" s="338" t="s">
        <v>400</v>
      </c>
      <c r="BC30" s="76">
        <f t="shared" si="134"/>
        <v>8960</v>
      </c>
      <c r="BD30" s="76">
        <f t="shared" si="135"/>
        <v>13440</v>
      </c>
      <c r="BE30" s="76">
        <f t="shared" si="48"/>
        <v>11200</v>
      </c>
      <c r="BF30" s="76">
        <f t="shared" si="136"/>
        <v>297</v>
      </c>
      <c r="BG30" s="76">
        <f t="shared" si="137"/>
        <v>495.00000000000006</v>
      </c>
      <c r="BH30" s="76">
        <f t="shared" si="6"/>
        <v>396.00000000000006</v>
      </c>
      <c r="BI30" s="4">
        <v>20</v>
      </c>
      <c r="BJ30" s="76">
        <f>BE30*0.75</f>
        <v>8400</v>
      </c>
      <c r="BK30" s="76">
        <f t="shared" si="7"/>
        <v>8400</v>
      </c>
      <c r="BL30" s="116">
        <f t="shared" si="8"/>
        <v>3165.8716561332049</v>
      </c>
      <c r="BM30" s="4">
        <f t="shared" si="9"/>
        <v>127.85220000000002</v>
      </c>
      <c r="BN30" s="4">
        <f t="shared" si="65"/>
        <v>57.993757920000014</v>
      </c>
      <c r="BO30" s="4">
        <f t="shared" si="10"/>
        <v>14.611680000000003</v>
      </c>
      <c r="BP30" s="4">
        <f t="shared" si="66"/>
        <v>6.627858048000002</v>
      </c>
      <c r="BQ30" s="335">
        <f t="shared" si="11"/>
        <v>127.85220000000002</v>
      </c>
      <c r="BR30" s="335">
        <f t="shared" si="12"/>
        <v>57.993757920000014</v>
      </c>
      <c r="BS30" s="335">
        <f t="shared" si="13"/>
        <v>14.611680000000003</v>
      </c>
      <c r="BT30" s="335">
        <f t="shared" si="14"/>
        <v>6.627858048000002</v>
      </c>
      <c r="BU30" s="76" t="str">
        <f t="shared" si="15"/>
        <v>N/A</v>
      </c>
      <c r="BV30" s="116">
        <f t="shared" si="16"/>
        <v>446.55716440400727</v>
      </c>
      <c r="BW30" s="88">
        <f t="shared" si="17"/>
        <v>112.3631165997394</v>
      </c>
      <c r="BX30" s="89">
        <f t="shared" si="18"/>
        <v>38.599533646240225</v>
      </c>
      <c r="BY30" s="89">
        <f t="shared" si="19"/>
        <v>150.96265024597963</v>
      </c>
      <c r="BZ30" s="89">
        <f t="shared" si="20"/>
        <v>247.71410185127732</v>
      </c>
      <c r="CA30" s="89">
        <f t="shared" si="21"/>
        <v>85.095973646914075</v>
      </c>
      <c r="CB30" s="89">
        <f t="shared" si="22"/>
        <v>332.8100754981914</v>
      </c>
      <c r="CC30" s="89">
        <f t="shared" si="23"/>
        <v>983.17727024771966</v>
      </c>
      <c r="CD30" s="89">
        <f t="shared" si="24"/>
        <v>337.74591940460198</v>
      </c>
      <c r="CE30" s="89">
        <f t="shared" si="25"/>
        <v>1320.9231896523215</v>
      </c>
      <c r="CF30" s="89">
        <f t="shared" si="26"/>
        <v>2167.4983911986765</v>
      </c>
      <c r="CG30" s="89">
        <f t="shared" si="27"/>
        <v>744.58976941049809</v>
      </c>
      <c r="CH30" s="89">
        <f t="shared" si="28"/>
        <v>2912.0881606091743</v>
      </c>
      <c r="CI30" s="41">
        <f t="shared" si="82"/>
        <v>1650.5095299799789</v>
      </c>
      <c r="CJ30" s="41">
        <f t="shared" si="83"/>
        <v>3834.2699850994527</v>
      </c>
      <c r="CK30" s="41">
        <f t="shared" si="84"/>
        <v>12997.762548592333</v>
      </c>
      <c r="CL30" s="41">
        <f t="shared" si="85"/>
        <v>40259.834843544253</v>
      </c>
      <c r="CM30" s="359">
        <f t="shared" si="29"/>
        <v>112.3631165997394</v>
      </c>
      <c r="CN30" s="210">
        <f t="shared" si="30"/>
        <v>38.599533646240225</v>
      </c>
      <c r="CO30" s="210">
        <f t="shared" si="51"/>
        <v>150.96265024597963</v>
      </c>
      <c r="CP30" s="210">
        <f t="shared" si="32"/>
        <v>247.71410185127732</v>
      </c>
      <c r="CQ30" s="210">
        <f t="shared" si="33"/>
        <v>85.095973646914075</v>
      </c>
      <c r="CR30" s="210">
        <f t="shared" si="52"/>
        <v>332.8100754981914</v>
      </c>
      <c r="CS30" s="210">
        <f t="shared" si="35"/>
        <v>983.17727024771966</v>
      </c>
      <c r="CT30" s="210">
        <f t="shared" si="36"/>
        <v>337.74591940460198</v>
      </c>
      <c r="CU30" s="210">
        <f t="shared" si="53"/>
        <v>1320.9231896523215</v>
      </c>
      <c r="CV30" s="210">
        <f t="shared" si="38"/>
        <v>2167.4983911986765</v>
      </c>
      <c r="CW30" s="210">
        <f t="shared" si="39"/>
        <v>744.58976941049809</v>
      </c>
      <c r="CX30" s="210">
        <f t="shared" si="54"/>
        <v>2912.0881606091743</v>
      </c>
      <c r="CY30" s="299" t="s">
        <v>122</v>
      </c>
      <c r="CZ30" s="298" t="s">
        <v>57</v>
      </c>
      <c r="DA30" s="298" t="s">
        <v>57</v>
      </c>
      <c r="DB30" s="298" t="s">
        <v>345</v>
      </c>
      <c r="DC30" s="298" t="s">
        <v>56</v>
      </c>
      <c r="DD30" s="279" t="s">
        <v>111</v>
      </c>
      <c r="DE30" s="279" t="s">
        <v>259</v>
      </c>
      <c r="DF30" s="298" t="s">
        <v>57</v>
      </c>
      <c r="DG30" s="298" t="s">
        <v>57</v>
      </c>
      <c r="DH30" s="298" t="s">
        <v>56</v>
      </c>
      <c r="DI30" s="298" t="s">
        <v>57</v>
      </c>
      <c r="DJ30" s="279" t="s">
        <v>375</v>
      </c>
      <c r="DK30" s="83" t="s">
        <v>376</v>
      </c>
      <c r="DL30" s="279" t="s">
        <v>365</v>
      </c>
      <c r="DM30" s="279" t="s">
        <v>375</v>
      </c>
      <c r="DN30" s="83" t="s">
        <v>376</v>
      </c>
      <c r="DO30" s="279" t="s">
        <v>545</v>
      </c>
      <c r="DP30" s="279" t="s">
        <v>394</v>
      </c>
      <c r="DQ30" s="109" t="s">
        <v>113</v>
      </c>
      <c r="DR30" s="28"/>
      <c r="DS30" s="28"/>
      <c r="DT30" s="28"/>
      <c r="DU30" s="28"/>
      <c r="DV30" s="28"/>
      <c r="DW30" s="28"/>
      <c r="DX30" s="28"/>
      <c r="DY30" s="28"/>
    </row>
    <row r="31" spans="1:129" ht="258" customHeight="1" x14ac:dyDescent="0.2">
      <c r="A31" s="521" t="s">
        <v>114</v>
      </c>
      <c r="B31" s="14" t="s">
        <v>0</v>
      </c>
      <c r="C31" s="84"/>
      <c r="D31" s="241">
        <v>400</v>
      </c>
      <c r="E31" s="370" t="s">
        <v>742</v>
      </c>
      <c r="F31" s="280" t="s">
        <v>115</v>
      </c>
      <c r="G31" s="280" t="s">
        <v>116</v>
      </c>
      <c r="H31" s="286" t="s">
        <v>86</v>
      </c>
      <c r="I31" s="285" t="s">
        <v>504</v>
      </c>
      <c r="J31" s="279"/>
      <c r="K31" s="265" t="s">
        <v>689</v>
      </c>
      <c r="L31" s="280" t="s">
        <v>9</v>
      </c>
      <c r="M31" s="322">
        <f>N31*2027</f>
        <v>2027</v>
      </c>
      <c r="N31" s="314">
        <v>1</v>
      </c>
      <c r="O31" s="11" t="s">
        <v>77</v>
      </c>
      <c r="P31" s="316" t="s">
        <v>77</v>
      </c>
      <c r="Q31" s="103">
        <f>$Q$107</f>
        <v>1.52</v>
      </c>
      <c r="R31" s="101">
        <f>$R$107</f>
        <v>2</v>
      </c>
      <c r="S31" s="4">
        <v>25</v>
      </c>
      <c r="T31" s="4">
        <v>75</v>
      </c>
      <c r="U31" s="4">
        <v>3</v>
      </c>
      <c r="V31" s="4">
        <v>10</v>
      </c>
      <c r="W31" s="194">
        <f t="shared" si="42"/>
        <v>0.95588208616780035</v>
      </c>
      <c r="X31" s="51" t="s">
        <v>388</v>
      </c>
      <c r="Y31" s="150">
        <f t="shared" si="98"/>
        <v>2.344748466</v>
      </c>
      <c r="Z31" s="150">
        <f t="shared" si="99"/>
        <v>7.0342453980000021</v>
      </c>
      <c r="AA31" s="150">
        <f t="shared" si="43"/>
        <v>1.0635779041775999</v>
      </c>
      <c r="AB31" s="150">
        <f t="shared" si="138"/>
        <v>3.190733712532801</v>
      </c>
      <c r="AC31" s="150">
        <f t="shared" si="139"/>
        <v>2.1271558083552007</v>
      </c>
      <c r="AD31" s="150">
        <f t="shared" si="100"/>
        <v>0.37022344200000001</v>
      </c>
      <c r="AE31" s="150">
        <f t="shared" si="101"/>
        <v>1.2340781400000003</v>
      </c>
      <c r="AF31" s="150">
        <f t="shared" si="140"/>
        <v>0.16793335329120002</v>
      </c>
      <c r="AG31" s="150">
        <f t="shared" si="141"/>
        <v>0.55977784430400013</v>
      </c>
      <c r="AH31" s="76">
        <v>0</v>
      </c>
      <c r="AI31" s="76">
        <v>0</v>
      </c>
      <c r="AJ31" s="76">
        <f t="shared" si="55"/>
        <v>0</v>
      </c>
      <c r="AK31" s="76">
        <f t="shared" si="126"/>
        <v>0</v>
      </c>
      <c r="AL31" s="76">
        <f t="shared" si="127"/>
        <v>0</v>
      </c>
      <c r="AM31" s="76">
        <f t="shared" si="4"/>
        <v>0</v>
      </c>
      <c r="AN31" s="108" t="s">
        <v>136</v>
      </c>
      <c r="AO31" s="76">
        <v>0</v>
      </c>
      <c r="AP31" s="76">
        <f t="shared" si="58"/>
        <v>0</v>
      </c>
      <c r="AQ31" s="76">
        <f t="shared" si="59"/>
        <v>0</v>
      </c>
      <c r="AR31" s="76">
        <f t="shared" si="60"/>
        <v>0</v>
      </c>
      <c r="AS31" s="76">
        <v>50</v>
      </c>
      <c r="AT31" s="76">
        <v>100</v>
      </c>
      <c r="AU31" s="76">
        <f t="shared" si="67"/>
        <v>75</v>
      </c>
      <c r="AV31" s="76">
        <f t="shared" si="128"/>
        <v>50</v>
      </c>
      <c r="AW31" s="76">
        <f t="shared" si="129"/>
        <v>100</v>
      </c>
      <c r="AX31" s="76">
        <f t="shared" si="5"/>
        <v>75</v>
      </c>
      <c r="AY31" s="337">
        <v>0.5</v>
      </c>
      <c r="AZ31" s="51">
        <v>0</v>
      </c>
      <c r="BA31" s="51">
        <v>0.1</v>
      </c>
      <c r="BB31" s="338" t="s">
        <v>306</v>
      </c>
      <c r="BC31" s="76">
        <f t="shared" si="134"/>
        <v>0</v>
      </c>
      <c r="BD31" s="76">
        <f t="shared" si="135"/>
        <v>0</v>
      </c>
      <c r="BE31" s="76">
        <f t="shared" si="48"/>
        <v>0</v>
      </c>
      <c r="BF31" s="76">
        <f t="shared" si="136"/>
        <v>55.000000000000007</v>
      </c>
      <c r="BG31" s="76">
        <f t="shared" si="137"/>
        <v>110.00000000000001</v>
      </c>
      <c r="BH31" s="76">
        <f t="shared" si="6"/>
        <v>82.5</v>
      </c>
      <c r="BI31" s="4">
        <v>20</v>
      </c>
      <c r="BJ31" s="76">
        <v>0</v>
      </c>
      <c r="BK31" s="76">
        <f t="shared" si="7"/>
        <v>0</v>
      </c>
      <c r="BL31" s="116">
        <f t="shared" si="8"/>
        <v>0</v>
      </c>
      <c r="BM31" s="4">
        <f t="shared" si="9"/>
        <v>93.789938640000017</v>
      </c>
      <c r="BN31" s="4">
        <f t="shared" si="65"/>
        <v>42.54311616710401</v>
      </c>
      <c r="BO31" s="4">
        <f t="shared" si="10"/>
        <v>16.043015820000001</v>
      </c>
      <c r="BP31" s="4">
        <f t="shared" si="66"/>
        <v>7.2771119759520007</v>
      </c>
      <c r="BQ31" s="335">
        <f t="shared" si="11"/>
        <v>93.789938640000017</v>
      </c>
      <c r="BR31" s="335">
        <f t="shared" si="12"/>
        <v>42.54311616710401</v>
      </c>
      <c r="BS31" s="335">
        <f t="shared" si="13"/>
        <v>16.043015820000001</v>
      </c>
      <c r="BT31" s="335">
        <f t="shared" si="14"/>
        <v>7.2771119759520007</v>
      </c>
      <c r="BU31" s="76" t="str">
        <f t="shared" si="15"/>
        <v>N/A</v>
      </c>
      <c r="BV31" s="116">
        <f t="shared" si="16"/>
        <v>38.784182933826649</v>
      </c>
      <c r="BW31" s="88">
        <f t="shared" si="17"/>
        <v>0</v>
      </c>
      <c r="BX31" s="89">
        <f t="shared" si="18"/>
        <v>10.962075124133472</v>
      </c>
      <c r="BY31" s="89">
        <f t="shared" si="19"/>
        <v>10.962075124133472</v>
      </c>
      <c r="BZ31" s="89">
        <f t="shared" si="20"/>
        <v>0</v>
      </c>
      <c r="CA31" s="89">
        <f t="shared" si="21"/>
        <v>24.166832284244865</v>
      </c>
      <c r="CB31" s="89">
        <f t="shared" si="22"/>
        <v>24.166832284244865</v>
      </c>
      <c r="CC31" s="89">
        <f t="shared" si="23"/>
        <v>0</v>
      </c>
      <c r="CD31" s="89">
        <f t="shared" si="24"/>
        <v>64.0859776487803</v>
      </c>
      <c r="CE31" s="89">
        <f t="shared" si="25"/>
        <v>64.0859776487803</v>
      </c>
      <c r="CF31" s="89">
        <f t="shared" si="26"/>
        <v>0</v>
      </c>
      <c r="CG31" s="89">
        <f t="shared" si="27"/>
        <v>141.28301950789307</v>
      </c>
      <c r="CH31" s="89">
        <f t="shared" si="28"/>
        <v>141.28301950789307</v>
      </c>
      <c r="CI31" s="41">
        <f t="shared" si="82"/>
        <v>97.440667770075308</v>
      </c>
      <c r="CJ31" s="41">
        <f t="shared" si="83"/>
        <v>584.64400662045205</v>
      </c>
      <c r="CK31" s="41">
        <f t="shared" si="84"/>
        <v>555.41180628942936</v>
      </c>
      <c r="CL31" s="41">
        <f t="shared" si="85"/>
        <v>3702.7453752628626</v>
      </c>
      <c r="CM31" s="359">
        <f t="shared" si="29"/>
        <v>0</v>
      </c>
      <c r="CN31" s="210">
        <f t="shared" si="30"/>
        <v>10.962075124133472</v>
      </c>
      <c r="CO31" s="210">
        <f t="shared" si="51"/>
        <v>10.962075124133472</v>
      </c>
      <c r="CP31" s="210">
        <f t="shared" si="32"/>
        <v>0</v>
      </c>
      <c r="CQ31" s="210">
        <f t="shared" si="33"/>
        <v>24.166832284244865</v>
      </c>
      <c r="CR31" s="210">
        <f t="shared" si="52"/>
        <v>24.166832284244865</v>
      </c>
      <c r="CS31" s="210">
        <f t="shared" si="35"/>
        <v>0</v>
      </c>
      <c r="CT31" s="210">
        <f t="shared" si="36"/>
        <v>64.0859776487803</v>
      </c>
      <c r="CU31" s="210">
        <f t="shared" si="53"/>
        <v>64.0859776487803</v>
      </c>
      <c r="CV31" s="210">
        <f t="shared" si="38"/>
        <v>0</v>
      </c>
      <c r="CW31" s="210">
        <f t="shared" si="39"/>
        <v>141.28301950789307</v>
      </c>
      <c r="CX31" s="210">
        <f t="shared" si="54"/>
        <v>141.28301950789307</v>
      </c>
      <c r="CY31" s="299" t="s">
        <v>122</v>
      </c>
      <c r="CZ31" s="298" t="s">
        <v>57</v>
      </c>
      <c r="DA31" s="298" t="s">
        <v>57</v>
      </c>
      <c r="DB31" s="298" t="s">
        <v>347</v>
      </c>
      <c r="DC31" s="298" t="s">
        <v>56</v>
      </c>
      <c r="DD31" s="279" t="s">
        <v>260</v>
      </c>
      <c r="DE31" s="279" t="s">
        <v>261</v>
      </c>
      <c r="DF31" s="298" t="s">
        <v>56</v>
      </c>
      <c r="DG31" s="298" t="s">
        <v>57</v>
      </c>
      <c r="DH31" s="298" t="s">
        <v>57</v>
      </c>
      <c r="DI31" s="298" t="s">
        <v>57</v>
      </c>
      <c r="DJ31" s="279" t="s">
        <v>375</v>
      </c>
      <c r="DK31" s="83" t="s">
        <v>376</v>
      </c>
      <c r="DL31" s="279" t="s">
        <v>365</v>
      </c>
      <c r="DM31" s="279" t="s">
        <v>375</v>
      </c>
      <c r="DN31" s="83" t="s">
        <v>376</v>
      </c>
      <c r="DO31" s="279" t="s">
        <v>614</v>
      </c>
      <c r="DP31" s="279" t="s">
        <v>249</v>
      </c>
      <c r="DQ31" s="111"/>
      <c r="DR31" s="28"/>
      <c r="DS31" s="28"/>
      <c r="DT31" s="28"/>
      <c r="DU31" s="28"/>
      <c r="DV31" s="28"/>
      <c r="DW31" s="28"/>
      <c r="DX31" s="28"/>
      <c r="DY31" s="28"/>
    </row>
    <row r="32" spans="1:129" ht="409.6" customHeight="1" x14ac:dyDescent="0.2">
      <c r="A32" s="521"/>
      <c r="B32" s="14" t="s">
        <v>1</v>
      </c>
      <c r="C32" s="97"/>
      <c r="D32" s="288">
        <v>401</v>
      </c>
      <c r="E32" s="370" t="s">
        <v>117</v>
      </c>
      <c r="F32" s="280" t="s">
        <v>14</v>
      </c>
      <c r="G32" s="280" t="s">
        <v>116</v>
      </c>
      <c r="H32" s="280" t="s">
        <v>94</v>
      </c>
      <c r="I32" s="285" t="s">
        <v>499</v>
      </c>
      <c r="J32" s="279" t="s">
        <v>118</v>
      </c>
      <c r="K32" s="265" t="s">
        <v>675</v>
      </c>
      <c r="L32" s="280" t="s">
        <v>23</v>
      </c>
      <c r="M32" s="320">
        <v>10820</v>
      </c>
      <c r="N32" s="315" t="s">
        <v>77</v>
      </c>
      <c r="O32" s="11" t="s">
        <v>77</v>
      </c>
      <c r="P32" s="316" t="s">
        <v>77</v>
      </c>
      <c r="Q32" s="101">
        <f>$T$107</f>
        <v>2</v>
      </c>
      <c r="R32" s="101">
        <f>$U$107</f>
        <v>0.3</v>
      </c>
      <c r="S32" s="4">
        <v>25</v>
      </c>
      <c r="T32" s="4">
        <v>75</v>
      </c>
      <c r="U32" s="4">
        <v>1</v>
      </c>
      <c r="V32" s="4">
        <v>8</v>
      </c>
      <c r="W32" s="194">
        <f t="shared" si="42"/>
        <v>0.94195011337868484</v>
      </c>
      <c r="X32" s="51" t="s">
        <v>388</v>
      </c>
      <c r="Y32" s="150">
        <f t="shared" si="98"/>
        <v>16.468581</v>
      </c>
      <c r="Z32" s="150">
        <f t="shared" si="99"/>
        <v>49.405742999999994</v>
      </c>
      <c r="AA32" s="150">
        <f t="shared" si="43"/>
        <v>7.4701483415999999</v>
      </c>
      <c r="AB32" s="150">
        <f t="shared" si="138"/>
        <v>22.410445024799998</v>
      </c>
      <c r="AC32" s="150">
        <f t="shared" si="139"/>
        <v>14.9402966832</v>
      </c>
      <c r="AD32" s="150">
        <f t="shared" si="100"/>
        <v>9.881148599999999E-2</v>
      </c>
      <c r="AE32" s="150">
        <f t="shared" si="101"/>
        <v>0.79049188799999992</v>
      </c>
      <c r="AF32" s="150">
        <f t="shared" si="140"/>
        <v>4.4820890049599993E-2</v>
      </c>
      <c r="AG32" s="150">
        <f t="shared" si="141"/>
        <v>0.35856712039679994</v>
      </c>
      <c r="AH32" s="76">
        <v>54000</v>
      </c>
      <c r="AI32" s="76">
        <v>100000</v>
      </c>
      <c r="AJ32" s="76">
        <f t="shared" si="55"/>
        <v>77000</v>
      </c>
      <c r="AK32" s="76">
        <f t="shared" si="126"/>
        <v>54000</v>
      </c>
      <c r="AL32" s="76">
        <f t="shared" si="127"/>
        <v>100000</v>
      </c>
      <c r="AM32" s="76">
        <f t="shared" si="4"/>
        <v>77000</v>
      </c>
      <c r="AN32" s="108" t="s">
        <v>136</v>
      </c>
      <c r="AO32" s="76">
        <v>0</v>
      </c>
      <c r="AP32" s="76">
        <f t="shared" si="58"/>
        <v>75600</v>
      </c>
      <c r="AQ32" s="76">
        <f t="shared" si="59"/>
        <v>140000</v>
      </c>
      <c r="AR32" s="76">
        <f t="shared" si="60"/>
        <v>107800</v>
      </c>
      <c r="AS32" s="76">
        <v>3400</v>
      </c>
      <c r="AT32" s="76">
        <v>8200</v>
      </c>
      <c r="AU32" s="76">
        <f t="shared" si="67"/>
        <v>5800</v>
      </c>
      <c r="AV32" s="76">
        <f t="shared" si="128"/>
        <v>3400</v>
      </c>
      <c r="AW32" s="76">
        <f t="shared" si="129"/>
        <v>8200</v>
      </c>
      <c r="AX32" s="76">
        <f t="shared" si="5"/>
        <v>5800</v>
      </c>
      <c r="AY32" s="337">
        <v>0.75</v>
      </c>
      <c r="AZ32" s="51">
        <v>0</v>
      </c>
      <c r="BA32" s="51">
        <v>0.1</v>
      </c>
      <c r="BB32" s="338" t="s">
        <v>306</v>
      </c>
      <c r="BC32" s="76">
        <f t="shared" si="134"/>
        <v>75600</v>
      </c>
      <c r="BD32" s="76">
        <f t="shared" si="135"/>
        <v>140000</v>
      </c>
      <c r="BE32" s="76">
        <f t="shared" si="48"/>
        <v>107800</v>
      </c>
      <c r="BF32" s="76">
        <f t="shared" si="136"/>
        <v>3740.0000000000005</v>
      </c>
      <c r="BG32" s="76">
        <f t="shared" si="137"/>
        <v>9020</v>
      </c>
      <c r="BH32" s="76">
        <f t="shared" si="6"/>
        <v>6380.0000000000009</v>
      </c>
      <c r="BI32" s="4">
        <v>20</v>
      </c>
      <c r="BJ32" s="76">
        <f>BE32*0.5</f>
        <v>53900</v>
      </c>
      <c r="BK32" s="76">
        <f t="shared" si="7"/>
        <v>53900</v>
      </c>
      <c r="BL32" s="116">
        <f t="shared" si="8"/>
        <v>20314.343126854732</v>
      </c>
      <c r="BM32" s="4">
        <f t="shared" si="9"/>
        <v>658.74324000000001</v>
      </c>
      <c r="BN32" s="4">
        <f t="shared" si="65"/>
        <v>298.80593366400001</v>
      </c>
      <c r="BO32" s="4">
        <f t="shared" si="10"/>
        <v>8.8930337399999999</v>
      </c>
      <c r="BP32" s="4">
        <f t="shared" si="66"/>
        <v>4.033880104464</v>
      </c>
      <c r="BQ32" s="335">
        <f t="shared" si="11"/>
        <v>658.74324000000001</v>
      </c>
      <c r="BR32" s="335">
        <f t="shared" si="12"/>
        <v>298.80593366400001</v>
      </c>
      <c r="BS32" s="335">
        <f t="shared" si="13"/>
        <v>8.8930337399999999</v>
      </c>
      <c r="BT32" s="335">
        <f t="shared" si="14"/>
        <v>4.033880104464</v>
      </c>
      <c r="BU32" s="76" t="str">
        <f t="shared" si="15"/>
        <v>N/A</v>
      </c>
      <c r="BV32" s="116">
        <f t="shared" si="16"/>
        <v>1006.1169273941656</v>
      </c>
      <c r="BW32" s="88">
        <f t="shared" si="17"/>
        <v>194.48297204060071</v>
      </c>
      <c r="BX32" s="89">
        <f t="shared" si="18"/>
        <v>120.69786398932173</v>
      </c>
      <c r="BY32" s="89">
        <f t="shared" si="19"/>
        <v>315.18083602992243</v>
      </c>
      <c r="BZ32" s="89">
        <f t="shared" si="20"/>
        <v>428.75434753218855</v>
      </c>
      <c r="CA32" s="89">
        <f t="shared" si="21"/>
        <v>266.08876540855761</v>
      </c>
      <c r="CB32" s="89">
        <f t="shared" si="22"/>
        <v>694.8431129407461</v>
      </c>
      <c r="CC32" s="89">
        <f t="shared" si="23"/>
        <v>14406.146077081536</v>
      </c>
      <c r="CD32" s="89">
        <f t="shared" si="24"/>
        <v>8940.5825177275365</v>
      </c>
      <c r="CE32" s="89">
        <f t="shared" si="25"/>
        <v>23346.728594809072</v>
      </c>
      <c r="CF32" s="89">
        <f t="shared" si="26"/>
        <v>31759.58129868063</v>
      </c>
      <c r="CG32" s="89">
        <f t="shared" si="27"/>
        <v>19710.278919152417</v>
      </c>
      <c r="CH32" s="89">
        <f t="shared" si="28"/>
        <v>51469.860217833047</v>
      </c>
      <c r="CI32" s="41">
        <f t="shared" si="82"/>
        <v>2473.5720841421121</v>
      </c>
      <c r="CJ32" s="41">
        <f t="shared" si="83"/>
        <v>15326.708311402826</v>
      </c>
      <c r="CK32" s="41">
        <f t="shared" si="84"/>
        <v>154598.25525888201</v>
      </c>
      <c r="CL32" s="41">
        <f t="shared" si="85"/>
        <v>2554451.3852338046</v>
      </c>
      <c r="CM32" s="359">
        <f t="shared" si="29"/>
        <v>194.48297204060071</v>
      </c>
      <c r="CN32" s="210">
        <f t="shared" si="30"/>
        <v>120.69786398932173</v>
      </c>
      <c r="CO32" s="210">
        <f t="shared" si="51"/>
        <v>315.18083602992243</v>
      </c>
      <c r="CP32" s="210">
        <f t="shared" si="32"/>
        <v>428.75434753218855</v>
      </c>
      <c r="CQ32" s="210">
        <f t="shared" si="33"/>
        <v>266.08876540855761</v>
      </c>
      <c r="CR32" s="210">
        <f t="shared" si="52"/>
        <v>694.8431129407461</v>
      </c>
      <c r="CS32" s="210">
        <f t="shared" si="35"/>
        <v>14406.146077081536</v>
      </c>
      <c r="CT32" s="210">
        <f t="shared" si="36"/>
        <v>8940.5825177275365</v>
      </c>
      <c r="CU32" s="210">
        <f t="shared" si="53"/>
        <v>23346.728594809072</v>
      </c>
      <c r="CV32" s="210">
        <f t="shared" si="38"/>
        <v>31759.58129868063</v>
      </c>
      <c r="CW32" s="210">
        <f t="shared" si="39"/>
        <v>19710.278919152417</v>
      </c>
      <c r="CX32" s="210">
        <f t="shared" si="54"/>
        <v>51469.860217833047</v>
      </c>
      <c r="CY32" s="299" t="s">
        <v>122</v>
      </c>
      <c r="CZ32" s="298" t="s">
        <v>57</v>
      </c>
      <c r="DA32" s="298" t="s">
        <v>57</v>
      </c>
      <c r="DB32" s="298" t="s">
        <v>347</v>
      </c>
      <c r="DC32" s="298" t="s">
        <v>57</v>
      </c>
      <c r="DD32" s="279" t="s">
        <v>119</v>
      </c>
      <c r="DE32" s="279" t="s">
        <v>120</v>
      </c>
      <c r="DF32" s="298" t="s">
        <v>56</v>
      </c>
      <c r="DG32" s="298" t="s">
        <v>56</v>
      </c>
      <c r="DH32" s="298" t="s">
        <v>57</v>
      </c>
      <c r="DI32" s="298" t="s">
        <v>56</v>
      </c>
      <c r="DJ32" s="279" t="s">
        <v>375</v>
      </c>
      <c r="DK32" s="83" t="s">
        <v>376</v>
      </c>
      <c r="DL32" s="279" t="s">
        <v>365</v>
      </c>
      <c r="DM32" s="279" t="s">
        <v>375</v>
      </c>
      <c r="DN32" s="83" t="s">
        <v>376</v>
      </c>
      <c r="DO32" s="279" t="s">
        <v>615</v>
      </c>
      <c r="DP32" s="279" t="s">
        <v>469</v>
      </c>
      <c r="DQ32" s="111"/>
      <c r="DR32" s="28"/>
      <c r="DS32" s="28"/>
      <c r="DT32" s="28"/>
      <c r="DU32" s="28"/>
      <c r="DV32" s="28"/>
      <c r="DW32" s="28"/>
      <c r="DX32" s="28"/>
      <c r="DY32" s="28"/>
    </row>
    <row r="33" spans="1:129" ht="191.25" customHeight="1" x14ac:dyDescent="0.2">
      <c r="A33" s="521"/>
      <c r="B33" s="14" t="s">
        <v>765</v>
      </c>
      <c r="C33" s="85"/>
      <c r="D33" s="290">
        <v>402</v>
      </c>
      <c r="E33" s="370" t="s">
        <v>425</v>
      </c>
      <c r="F33" s="280" t="s">
        <v>121</v>
      </c>
      <c r="G33" s="280" t="s">
        <v>90</v>
      </c>
      <c r="H33" s="286" t="s">
        <v>86</v>
      </c>
      <c r="I33" s="285" t="s">
        <v>504</v>
      </c>
      <c r="J33" s="279" t="s">
        <v>122</v>
      </c>
      <c r="K33" s="265" t="s">
        <v>676</v>
      </c>
      <c r="L33" s="280" t="s">
        <v>5</v>
      </c>
      <c r="M33" s="320">
        <v>160</v>
      </c>
      <c r="N33" s="315" t="s">
        <v>77</v>
      </c>
      <c r="O33" s="11" t="s">
        <v>77</v>
      </c>
      <c r="P33" s="316">
        <f>M33/$P$2</f>
        <v>1</v>
      </c>
      <c r="Q33" s="144">
        <f>$Q$110</f>
        <v>40</v>
      </c>
      <c r="R33" s="144">
        <f>$R$110</f>
        <v>8</v>
      </c>
      <c r="S33" s="4">
        <v>62</v>
      </c>
      <c r="T33" s="4">
        <v>90</v>
      </c>
      <c r="U33" s="4">
        <v>75</v>
      </c>
      <c r="V33" s="4">
        <v>90</v>
      </c>
      <c r="W33" s="194">
        <f t="shared" si="42"/>
        <v>0.44272108843537405</v>
      </c>
      <c r="X33" s="51" t="s">
        <v>388</v>
      </c>
      <c r="Y33" s="150">
        <f t="shared" si="98"/>
        <v>12.078988800000001</v>
      </c>
      <c r="Z33" s="150">
        <f t="shared" si="99"/>
        <v>17.534016000000001</v>
      </c>
      <c r="AA33" s="150">
        <f t="shared" si="43"/>
        <v>5.4790293196800004</v>
      </c>
      <c r="AB33" s="150">
        <f t="shared" si="138"/>
        <v>7.953429657600001</v>
      </c>
      <c r="AC33" s="150">
        <f t="shared" si="139"/>
        <v>6.7162294886400007</v>
      </c>
      <c r="AD33" s="150">
        <f t="shared" si="100"/>
        <v>2.922336</v>
      </c>
      <c r="AE33" s="150">
        <f t="shared" si="101"/>
        <v>3.5068032000000002</v>
      </c>
      <c r="AF33" s="150">
        <f t="shared" si="140"/>
        <v>1.3255716096000001</v>
      </c>
      <c r="AG33" s="150">
        <f t="shared" si="141"/>
        <v>1.5906859315200002</v>
      </c>
      <c r="AH33" s="76">
        <v>0</v>
      </c>
      <c r="AI33" s="76">
        <v>0</v>
      </c>
      <c r="AJ33" s="76">
        <f t="shared" si="55"/>
        <v>0</v>
      </c>
      <c r="AK33" s="76">
        <f t="shared" si="126"/>
        <v>0</v>
      </c>
      <c r="AL33" s="76">
        <f t="shared" si="127"/>
        <v>0</v>
      </c>
      <c r="AM33" s="76">
        <f t="shared" si="4"/>
        <v>0</v>
      </c>
      <c r="AN33" s="108">
        <v>0.5</v>
      </c>
      <c r="AO33" s="76">
        <v>0</v>
      </c>
      <c r="AP33" s="76">
        <f t="shared" si="58"/>
        <v>0</v>
      </c>
      <c r="AQ33" s="76">
        <f t="shared" si="59"/>
        <v>0</v>
      </c>
      <c r="AR33" s="76">
        <f t="shared" si="60"/>
        <v>0</v>
      </c>
      <c r="AS33" s="76">
        <v>0</v>
      </c>
      <c r="AT33" s="76">
        <v>0</v>
      </c>
      <c r="AU33" s="76">
        <f t="shared" si="67"/>
        <v>0</v>
      </c>
      <c r="AV33" s="76">
        <f t="shared" si="128"/>
        <v>0</v>
      </c>
      <c r="AW33" s="76">
        <f t="shared" si="129"/>
        <v>0</v>
      </c>
      <c r="AX33" s="76">
        <f t="shared" si="5"/>
        <v>0</v>
      </c>
      <c r="AY33" s="337" t="s">
        <v>136</v>
      </c>
      <c r="AZ33" s="51">
        <v>0.2</v>
      </c>
      <c r="BA33" s="51">
        <v>0</v>
      </c>
      <c r="BB33" s="338" t="s">
        <v>307</v>
      </c>
      <c r="BC33" s="76">
        <f t="shared" si="134"/>
        <v>0</v>
      </c>
      <c r="BD33" s="76">
        <f t="shared" si="135"/>
        <v>0</v>
      </c>
      <c r="BE33" s="76">
        <f t="shared" si="48"/>
        <v>0</v>
      </c>
      <c r="BF33" s="76">
        <f t="shared" si="136"/>
        <v>0</v>
      </c>
      <c r="BG33" s="76">
        <f t="shared" si="137"/>
        <v>0</v>
      </c>
      <c r="BH33" s="76">
        <f t="shared" si="6"/>
        <v>0</v>
      </c>
      <c r="BI33" s="4">
        <v>20</v>
      </c>
      <c r="BJ33" s="76">
        <v>0</v>
      </c>
      <c r="BK33" s="76">
        <f t="shared" si="7"/>
        <v>0</v>
      </c>
      <c r="BL33" s="116">
        <f t="shared" si="8"/>
        <v>0</v>
      </c>
      <c r="BM33" s="4">
        <f t="shared" si="9"/>
        <v>296.13004800000004</v>
      </c>
      <c r="BN33" s="4">
        <f t="shared" si="65"/>
        <v>134.32458977280001</v>
      </c>
      <c r="BO33" s="4">
        <f t="shared" si="10"/>
        <v>64.291392000000002</v>
      </c>
      <c r="BP33" s="4">
        <f t="shared" si="66"/>
        <v>29.162575411200002</v>
      </c>
      <c r="BQ33" s="335">
        <f t="shared" si="11"/>
        <v>194.33534400000002</v>
      </c>
      <c r="BR33" s="335">
        <f t="shared" si="12"/>
        <v>88.150512038399995</v>
      </c>
      <c r="BS33" s="335">
        <f t="shared" si="13"/>
        <v>48.218544000000001</v>
      </c>
      <c r="BT33" s="335">
        <f t="shared" si="14"/>
        <v>21.8719315584</v>
      </c>
      <c r="BU33" s="76" t="str">
        <f t="shared" si="15"/>
        <v>N/A</v>
      </c>
      <c r="BV33" s="116">
        <f t="shared" si="16"/>
        <v>0</v>
      </c>
      <c r="BW33" s="88">
        <f t="shared" si="17"/>
        <v>0</v>
      </c>
      <c r="BX33" s="89">
        <f t="shared" si="18"/>
        <v>0</v>
      </c>
      <c r="BY33" s="89">
        <f t="shared" si="19"/>
        <v>0</v>
      </c>
      <c r="BZ33" s="89">
        <f t="shared" si="20"/>
        <v>0</v>
      </c>
      <c r="CA33" s="89">
        <f t="shared" si="21"/>
        <v>0</v>
      </c>
      <c r="CB33" s="89">
        <f t="shared" si="22"/>
        <v>0</v>
      </c>
      <c r="CC33" s="89">
        <f t="shared" si="23"/>
        <v>0</v>
      </c>
      <c r="CD33" s="89">
        <f t="shared" si="24"/>
        <v>0</v>
      </c>
      <c r="CE33" s="89">
        <f t="shared" si="25"/>
        <v>0</v>
      </c>
      <c r="CF33" s="89">
        <f t="shared" si="26"/>
        <v>0</v>
      </c>
      <c r="CG33" s="89">
        <f t="shared" si="27"/>
        <v>0</v>
      </c>
      <c r="CH33" s="89">
        <f t="shared" si="28"/>
        <v>0</v>
      </c>
      <c r="CI33" s="41">
        <f t="shared" si="82"/>
        <v>0</v>
      </c>
      <c r="CJ33" s="41">
        <f t="shared" si="83"/>
        <v>0</v>
      </c>
      <c r="CK33" s="41">
        <f t="shared" si="84"/>
        <v>0</v>
      </c>
      <c r="CL33" s="41">
        <f t="shared" si="85"/>
        <v>0</v>
      </c>
      <c r="CM33" s="359">
        <f t="shared" si="29"/>
        <v>0</v>
      </c>
      <c r="CN33" s="210">
        <f t="shared" si="30"/>
        <v>0</v>
      </c>
      <c r="CO33" s="210">
        <f t="shared" si="51"/>
        <v>0</v>
      </c>
      <c r="CP33" s="210">
        <f t="shared" si="32"/>
        <v>0</v>
      </c>
      <c r="CQ33" s="210">
        <f t="shared" si="33"/>
        <v>0</v>
      </c>
      <c r="CR33" s="210">
        <f t="shared" si="52"/>
        <v>0</v>
      </c>
      <c r="CS33" s="210">
        <f t="shared" si="35"/>
        <v>0</v>
      </c>
      <c r="CT33" s="210">
        <f t="shared" si="36"/>
        <v>0</v>
      </c>
      <c r="CU33" s="210">
        <f t="shared" si="53"/>
        <v>0</v>
      </c>
      <c r="CV33" s="210">
        <f t="shared" si="38"/>
        <v>0</v>
      </c>
      <c r="CW33" s="210">
        <f t="shared" si="39"/>
        <v>0</v>
      </c>
      <c r="CX33" s="210">
        <f t="shared" si="54"/>
        <v>0</v>
      </c>
      <c r="CY33" s="299" t="s">
        <v>319</v>
      </c>
      <c r="CZ33" s="298" t="s">
        <v>56</v>
      </c>
      <c r="DA33" s="298" t="s">
        <v>57</v>
      </c>
      <c r="DB33" s="298" t="s">
        <v>345</v>
      </c>
      <c r="DC33" s="298" t="s">
        <v>250</v>
      </c>
      <c r="DD33" s="279" t="s">
        <v>123</v>
      </c>
      <c r="DE33" s="279" t="s">
        <v>124</v>
      </c>
      <c r="DF33" s="298" t="s">
        <v>56</v>
      </c>
      <c r="DG33" s="298" t="s">
        <v>56</v>
      </c>
      <c r="DH33" s="298" t="s">
        <v>56</v>
      </c>
      <c r="DI33" s="298" t="s">
        <v>56</v>
      </c>
      <c r="DJ33" s="280" t="s">
        <v>77</v>
      </c>
      <c r="DK33" s="280" t="s">
        <v>77</v>
      </c>
      <c r="DL33" s="280" t="s">
        <v>77</v>
      </c>
      <c r="DM33" s="280" t="s">
        <v>77</v>
      </c>
      <c r="DN33" s="280" t="s">
        <v>77</v>
      </c>
      <c r="DO33" s="279" t="s">
        <v>125</v>
      </c>
      <c r="DP33" s="279" t="s">
        <v>126</v>
      </c>
      <c r="DQ33" s="111"/>
      <c r="DR33" s="28"/>
      <c r="DS33" s="28"/>
      <c r="DT33" s="28"/>
      <c r="DU33" s="28"/>
      <c r="DV33" s="28"/>
      <c r="DW33" s="28"/>
      <c r="DX33" s="28"/>
      <c r="DY33" s="28"/>
    </row>
    <row r="34" spans="1:129" ht="306" customHeight="1" x14ac:dyDescent="0.2">
      <c r="A34" s="521"/>
      <c r="B34" s="14" t="s">
        <v>127</v>
      </c>
      <c r="C34" s="84"/>
      <c r="D34" s="241">
        <v>403</v>
      </c>
      <c r="E34" s="370" t="s">
        <v>426</v>
      </c>
      <c r="F34" s="280" t="s">
        <v>121</v>
      </c>
      <c r="G34" s="280" t="s">
        <v>90</v>
      </c>
      <c r="H34" s="286" t="s">
        <v>86</v>
      </c>
      <c r="I34" s="285" t="s">
        <v>504</v>
      </c>
      <c r="J34" s="279" t="s">
        <v>122</v>
      </c>
      <c r="K34" s="265" t="s">
        <v>677</v>
      </c>
      <c r="L34" s="280" t="s">
        <v>5</v>
      </c>
      <c r="M34" s="320">
        <v>160</v>
      </c>
      <c r="N34" s="315" t="s">
        <v>77</v>
      </c>
      <c r="O34" s="11" t="s">
        <v>77</v>
      </c>
      <c r="P34" s="316">
        <f>M34/$P$2</f>
        <v>1</v>
      </c>
      <c r="Q34" s="144">
        <f>$Q$110</f>
        <v>40</v>
      </c>
      <c r="R34" s="144">
        <f>$R$110</f>
        <v>8</v>
      </c>
      <c r="S34" s="4">
        <v>100</v>
      </c>
      <c r="T34" s="4">
        <v>100</v>
      </c>
      <c r="U34" s="4">
        <v>100</v>
      </c>
      <c r="V34" s="4">
        <v>100</v>
      </c>
      <c r="W34" s="194">
        <f t="shared" si="42"/>
        <v>1</v>
      </c>
      <c r="X34" s="51" t="s">
        <v>388</v>
      </c>
      <c r="Y34" s="150">
        <f t="shared" si="98"/>
        <v>19.482240000000001</v>
      </c>
      <c r="Z34" s="150">
        <f t="shared" si="99"/>
        <v>19.482240000000001</v>
      </c>
      <c r="AA34" s="150">
        <f t="shared" si="43"/>
        <v>8.8371440640000003</v>
      </c>
      <c r="AB34" s="150">
        <f t="shared" si="138"/>
        <v>8.8371440640000003</v>
      </c>
      <c r="AC34" s="150">
        <f t="shared" si="139"/>
        <v>8.8371440640000003</v>
      </c>
      <c r="AD34" s="150">
        <f t="shared" si="100"/>
        <v>3.8964480000000004</v>
      </c>
      <c r="AE34" s="150">
        <f t="shared" si="101"/>
        <v>3.8964480000000004</v>
      </c>
      <c r="AF34" s="150">
        <f t="shared" si="140"/>
        <v>1.7674288128000002</v>
      </c>
      <c r="AG34" s="150">
        <f t="shared" si="141"/>
        <v>1.7674288128000002</v>
      </c>
      <c r="AH34" s="76">
        <v>0</v>
      </c>
      <c r="AI34" s="76">
        <v>0</v>
      </c>
      <c r="AJ34" s="76">
        <f t="shared" si="55"/>
        <v>0</v>
      </c>
      <c r="AK34" s="76">
        <f t="shared" si="126"/>
        <v>0</v>
      </c>
      <c r="AL34" s="76">
        <f t="shared" si="127"/>
        <v>0</v>
      </c>
      <c r="AM34" s="76">
        <f t="shared" si="4"/>
        <v>0</v>
      </c>
      <c r="AN34" s="108">
        <v>0</v>
      </c>
      <c r="AO34" s="76">
        <v>0</v>
      </c>
      <c r="AP34" s="76">
        <f t="shared" si="58"/>
        <v>0</v>
      </c>
      <c r="AQ34" s="76">
        <f t="shared" si="59"/>
        <v>0</v>
      </c>
      <c r="AR34" s="76">
        <f t="shared" si="60"/>
        <v>0</v>
      </c>
      <c r="AS34" s="76">
        <v>0</v>
      </c>
      <c r="AT34" s="76">
        <v>0</v>
      </c>
      <c r="AU34" s="76">
        <f t="shared" si="67"/>
        <v>0</v>
      </c>
      <c r="AV34" s="76">
        <f t="shared" si="128"/>
        <v>0</v>
      </c>
      <c r="AW34" s="76">
        <f t="shared" si="129"/>
        <v>0</v>
      </c>
      <c r="AX34" s="76">
        <f t="shared" si="5"/>
        <v>0</v>
      </c>
      <c r="AY34" s="337" t="s">
        <v>136</v>
      </c>
      <c r="AZ34" s="51">
        <v>0.2</v>
      </c>
      <c r="BA34" s="51">
        <v>0</v>
      </c>
      <c r="BB34" s="338" t="s">
        <v>307</v>
      </c>
      <c r="BC34" s="76">
        <f t="shared" si="134"/>
        <v>0</v>
      </c>
      <c r="BD34" s="76">
        <f t="shared" si="135"/>
        <v>0</v>
      </c>
      <c r="BE34" s="76">
        <f t="shared" si="48"/>
        <v>0</v>
      </c>
      <c r="BF34" s="76">
        <f t="shared" si="136"/>
        <v>0</v>
      </c>
      <c r="BG34" s="76">
        <f t="shared" si="137"/>
        <v>0</v>
      </c>
      <c r="BH34" s="76">
        <f t="shared" si="6"/>
        <v>0</v>
      </c>
      <c r="BI34" s="4">
        <v>20</v>
      </c>
      <c r="BJ34" s="76">
        <v>0</v>
      </c>
      <c r="BK34" s="76">
        <f t="shared" si="7"/>
        <v>0</v>
      </c>
      <c r="BL34" s="116">
        <f t="shared" si="8"/>
        <v>0</v>
      </c>
      <c r="BM34" s="4">
        <f t="shared" si="9"/>
        <v>389.64480000000003</v>
      </c>
      <c r="BN34" s="4">
        <f t="shared" si="65"/>
        <v>176.74288128000001</v>
      </c>
      <c r="BO34" s="4">
        <f t="shared" si="10"/>
        <v>77.928960000000004</v>
      </c>
      <c r="BP34" s="4">
        <f t="shared" si="66"/>
        <v>35.348576256000001</v>
      </c>
      <c r="BQ34" s="335">
        <f t="shared" si="11"/>
        <v>255.70440000000002</v>
      </c>
      <c r="BR34" s="335">
        <f t="shared" si="12"/>
        <v>115.98751584</v>
      </c>
      <c r="BS34" s="335">
        <f t="shared" si="13"/>
        <v>58.446719999999999</v>
      </c>
      <c r="BT34" s="335">
        <f t="shared" si="14"/>
        <v>26.511432192000001</v>
      </c>
      <c r="BU34" s="76" t="str">
        <f t="shared" si="15"/>
        <v>N/A</v>
      </c>
      <c r="BV34" s="116">
        <f t="shared" si="16"/>
        <v>0</v>
      </c>
      <c r="BW34" s="88">
        <f t="shared" si="17"/>
        <v>0</v>
      </c>
      <c r="BX34" s="89">
        <f t="shared" si="18"/>
        <v>0</v>
      </c>
      <c r="BY34" s="89">
        <f t="shared" si="19"/>
        <v>0</v>
      </c>
      <c r="BZ34" s="89">
        <f t="shared" si="20"/>
        <v>0</v>
      </c>
      <c r="CA34" s="89">
        <f t="shared" si="21"/>
        <v>0</v>
      </c>
      <c r="CB34" s="89">
        <f t="shared" si="22"/>
        <v>0</v>
      </c>
      <c r="CC34" s="89">
        <f t="shared" si="23"/>
        <v>0</v>
      </c>
      <c r="CD34" s="89">
        <f t="shared" si="24"/>
        <v>0</v>
      </c>
      <c r="CE34" s="89">
        <f t="shared" si="25"/>
        <v>0</v>
      </c>
      <c r="CF34" s="89">
        <f t="shared" si="26"/>
        <v>0</v>
      </c>
      <c r="CG34" s="89">
        <f t="shared" si="27"/>
        <v>0</v>
      </c>
      <c r="CH34" s="89">
        <f t="shared" si="28"/>
        <v>0</v>
      </c>
      <c r="CI34" s="41">
        <f t="shared" si="82"/>
        <v>0</v>
      </c>
      <c r="CJ34" s="41">
        <f t="shared" si="83"/>
        <v>0</v>
      </c>
      <c r="CK34" s="41">
        <f t="shared" si="84"/>
        <v>0</v>
      </c>
      <c r="CL34" s="41">
        <f t="shared" si="85"/>
        <v>0</v>
      </c>
      <c r="CM34" s="359">
        <f t="shared" si="29"/>
        <v>0</v>
      </c>
      <c r="CN34" s="210">
        <f t="shared" si="30"/>
        <v>0</v>
      </c>
      <c r="CO34" s="210">
        <f t="shared" si="51"/>
        <v>0</v>
      </c>
      <c r="CP34" s="210">
        <f t="shared" si="32"/>
        <v>0</v>
      </c>
      <c r="CQ34" s="210">
        <f t="shared" si="33"/>
        <v>0</v>
      </c>
      <c r="CR34" s="210">
        <f t="shared" si="52"/>
        <v>0</v>
      </c>
      <c r="CS34" s="210">
        <f t="shared" si="35"/>
        <v>0</v>
      </c>
      <c r="CT34" s="210">
        <f t="shared" si="36"/>
        <v>0</v>
      </c>
      <c r="CU34" s="210">
        <f t="shared" si="53"/>
        <v>0</v>
      </c>
      <c r="CV34" s="210">
        <f t="shared" si="38"/>
        <v>0</v>
      </c>
      <c r="CW34" s="210">
        <f t="shared" si="39"/>
        <v>0</v>
      </c>
      <c r="CX34" s="210">
        <f t="shared" si="54"/>
        <v>0</v>
      </c>
      <c r="CY34" s="299" t="s">
        <v>319</v>
      </c>
      <c r="CZ34" s="298" t="s">
        <v>56</v>
      </c>
      <c r="DA34" s="298" t="s">
        <v>57</v>
      </c>
      <c r="DB34" s="298" t="s">
        <v>250</v>
      </c>
      <c r="DC34" s="298" t="s">
        <v>250</v>
      </c>
      <c r="DD34" s="279" t="s">
        <v>128</v>
      </c>
      <c r="DE34" s="279" t="s">
        <v>129</v>
      </c>
      <c r="DF34" s="298" t="s">
        <v>56</v>
      </c>
      <c r="DG34" s="298" t="s">
        <v>56</v>
      </c>
      <c r="DH34" s="298" t="s">
        <v>56</v>
      </c>
      <c r="DI34" s="298" t="s">
        <v>56</v>
      </c>
      <c r="DJ34" s="280" t="s">
        <v>77</v>
      </c>
      <c r="DK34" s="280" t="s">
        <v>77</v>
      </c>
      <c r="DL34" s="280" t="s">
        <v>77</v>
      </c>
      <c r="DM34" s="280" t="s">
        <v>77</v>
      </c>
      <c r="DN34" s="280" t="s">
        <v>77</v>
      </c>
      <c r="DO34" s="279" t="s">
        <v>130</v>
      </c>
      <c r="DP34" s="279" t="s">
        <v>126</v>
      </c>
      <c r="DQ34" s="109" t="s">
        <v>131</v>
      </c>
      <c r="DR34" s="28"/>
      <c r="DS34" s="28"/>
      <c r="DT34" s="28"/>
      <c r="DU34" s="28"/>
      <c r="DV34" s="28"/>
      <c r="DW34" s="28"/>
      <c r="DX34" s="28"/>
      <c r="DY34" s="28"/>
    </row>
    <row r="35" spans="1:129" ht="409.5" customHeight="1" x14ac:dyDescent="0.2">
      <c r="A35" s="521"/>
      <c r="B35" s="14" t="s">
        <v>24</v>
      </c>
      <c r="C35" s="84"/>
      <c r="D35" s="241">
        <v>404</v>
      </c>
      <c r="E35" s="370" t="s">
        <v>743</v>
      </c>
      <c r="F35" s="280" t="s">
        <v>121</v>
      </c>
      <c r="G35" s="280" t="s">
        <v>90</v>
      </c>
      <c r="H35" s="286" t="s">
        <v>86</v>
      </c>
      <c r="I35" s="285" t="s">
        <v>504</v>
      </c>
      <c r="J35" s="279" t="s">
        <v>122</v>
      </c>
      <c r="K35" s="265" t="s">
        <v>678</v>
      </c>
      <c r="L35" s="280" t="s">
        <v>5</v>
      </c>
      <c r="M35" s="320">
        <v>160</v>
      </c>
      <c r="N35" s="315" t="s">
        <v>77</v>
      </c>
      <c r="O35" s="11" t="s">
        <v>77</v>
      </c>
      <c r="P35" s="316">
        <f>M35/$P$2</f>
        <v>1</v>
      </c>
      <c r="Q35" s="144">
        <f>$Q$110</f>
        <v>40</v>
      </c>
      <c r="R35" s="144">
        <f>$R$110</f>
        <v>8</v>
      </c>
      <c r="S35" s="4">
        <v>100</v>
      </c>
      <c r="T35" s="4">
        <v>100</v>
      </c>
      <c r="U35" s="4">
        <v>100</v>
      </c>
      <c r="V35" s="4">
        <v>100</v>
      </c>
      <c r="W35" s="194">
        <f t="shared" si="42"/>
        <v>1</v>
      </c>
      <c r="X35" s="51" t="s">
        <v>388</v>
      </c>
      <c r="Y35" s="150">
        <f t="shared" si="98"/>
        <v>19.482240000000001</v>
      </c>
      <c r="Z35" s="150">
        <f t="shared" si="99"/>
        <v>19.482240000000001</v>
      </c>
      <c r="AA35" s="150">
        <f t="shared" si="43"/>
        <v>8.8371440640000003</v>
      </c>
      <c r="AB35" s="150">
        <f t="shared" si="138"/>
        <v>8.8371440640000003</v>
      </c>
      <c r="AC35" s="150">
        <f t="shared" si="139"/>
        <v>8.8371440640000003</v>
      </c>
      <c r="AD35" s="150">
        <f t="shared" si="100"/>
        <v>3.8964480000000004</v>
      </c>
      <c r="AE35" s="150">
        <f t="shared" si="101"/>
        <v>3.8964480000000004</v>
      </c>
      <c r="AF35" s="150">
        <f t="shared" si="140"/>
        <v>1.7674288128000002</v>
      </c>
      <c r="AG35" s="150">
        <f t="shared" si="141"/>
        <v>1.7674288128000002</v>
      </c>
      <c r="AH35" s="76">
        <v>0</v>
      </c>
      <c r="AI35" s="76">
        <v>0</v>
      </c>
      <c r="AJ35" s="76">
        <f t="shared" si="55"/>
        <v>0</v>
      </c>
      <c r="AK35" s="76">
        <f t="shared" si="126"/>
        <v>0</v>
      </c>
      <c r="AL35" s="76">
        <f t="shared" si="127"/>
        <v>0</v>
      </c>
      <c r="AM35" s="76">
        <f t="shared" si="4"/>
        <v>0</v>
      </c>
      <c r="AN35" s="108" t="s">
        <v>136</v>
      </c>
      <c r="AO35" s="76">
        <v>0</v>
      </c>
      <c r="AP35" s="76">
        <f t="shared" si="58"/>
        <v>0</v>
      </c>
      <c r="AQ35" s="76">
        <f t="shared" si="59"/>
        <v>0</v>
      </c>
      <c r="AR35" s="76">
        <f t="shared" si="60"/>
        <v>0</v>
      </c>
      <c r="AS35" s="76">
        <v>0</v>
      </c>
      <c r="AT35" s="76">
        <v>0</v>
      </c>
      <c r="AU35" s="76">
        <f t="shared" si="67"/>
        <v>0</v>
      </c>
      <c r="AV35" s="76">
        <f t="shared" si="128"/>
        <v>0</v>
      </c>
      <c r="AW35" s="76">
        <f t="shared" si="129"/>
        <v>0</v>
      </c>
      <c r="AX35" s="76">
        <f t="shared" si="5"/>
        <v>0</v>
      </c>
      <c r="AY35" s="337" t="s">
        <v>136</v>
      </c>
      <c r="AZ35" s="51">
        <v>0.2</v>
      </c>
      <c r="BA35" s="51">
        <v>0</v>
      </c>
      <c r="BB35" s="338" t="s">
        <v>307</v>
      </c>
      <c r="BC35" s="76">
        <f t="shared" si="134"/>
        <v>0</v>
      </c>
      <c r="BD35" s="76">
        <f t="shared" si="135"/>
        <v>0</v>
      </c>
      <c r="BE35" s="76">
        <f t="shared" si="48"/>
        <v>0</v>
      </c>
      <c r="BF35" s="76">
        <f t="shared" si="136"/>
        <v>0</v>
      </c>
      <c r="BG35" s="76">
        <f t="shared" si="137"/>
        <v>0</v>
      </c>
      <c r="BH35" s="76">
        <f t="shared" si="6"/>
        <v>0</v>
      </c>
      <c r="BI35" s="4">
        <v>20</v>
      </c>
      <c r="BJ35" s="76">
        <v>0</v>
      </c>
      <c r="BK35" s="76">
        <f t="shared" si="7"/>
        <v>0</v>
      </c>
      <c r="BL35" s="116">
        <f t="shared" si="8"/>
        <v>0</v>
      </c>
      <c r="BM35" s="4">
        <f t="shared" si="9"/>
        <v>389.64480000000003</v>
      </c>
      <c r="BN35" s="4">
        <f t="shared" si="65"/>
        <v>176.74288128000001</v>
      </c>
      <c r="BO35" s="4">
        <f t="shared" si="10"/>
        <v>77.928960000000004</v>
      </c>
      <c r="BP35" s="4">
        <f t="shared" si="66"/>
        <v>35.348576256000001</v>
      </c>
      <c r="BQ35" s="335">
        <f t="shared" si="11"/>
        <v>255.70440000000002</v>
      </c>
      <c r="BR35" s="335">
        <f t="shared" si="12"/>
        <v>115.98751584</v>
      </c>
      <c r="BS35" s="335">
        <f t="shared" si="13"/>
        <v>58.446719999999999</v>
      </c>
      <c r="BT35" s="335">
        <f t="shared" si="14"/>
        <v>26.511432192000001</v>
      </c>
      <c r="BU35" s="76" t="str">
        <f t="shared" si="15"/>
        <v>N/A</v>
      </c>
      <c r="BV35" s="116">
        <f t="shared" si="16"/>
        <v>0</v>
      </c>
      <c r="BW35" s="88">
        <f t="shared" si="17"/>
        <v>0</v>
      </c>
      <c r="BX35" s="89">
        <f t="shared" si="18"/>
        <v>0</v>
      </c>
      <c r="BY35" s="89">
        <f t="shared" si="19"/>
        <v>0</v>
      </c>
      <c r="BZ35" s="89">
        <f t="shared" si="20"/>
        <v>0</v>
      </c>
      <c r="CA35" s="89">
        <f t="shared" si="21"/>
        <v>0</v>
      </c>
      <c r="CB35" s="89">
        <f t="shared" si="22"/>
        <v>0</v>
      </c>
      <c r="CC35" s="89">
        <f t="shared" si="23"/>
        <v>0</v>
      </c>
      <c r="CD35" s="89">
        <f t="shared" si="24"/>
        <v>0</v>
      </c>
      <c r="CE35" s="89">
        <f t="shared" si="25"/>
        <v>0</v>
      </c>
      <c r="CF35" s="89">
        <f t="shared" si="26"/>
        <v>0</v>
      </c>
      <c r="CG35" s="89">
        <f t="shared" si="27"/>
        <v>0</v>
      </c>
      <c r="CH35" s="89">
        <f t="shared" si="28"/>
        <v>0</v>
      </c>
      <c r="CI35" s="41">
        <f t="shared" si="82"/>
        <v>0</v>
      </c>
      <c r="CJ35" s="41">
        <f t="shared" si="83"/>
        <v>0</v>
      </c>
      <c r="CK35" s="41">
        <f t="shared" si="84"/>
        <v>0</v>
      </c>
      <c r="CL35" s="41">
        <f t="shared" si="85"/>
        <v>0</v>
      </c>
      <c r="CM35" s="359">
        <f t="shared" si="29"/>
        <v>0</v>
      </c>
      <c r="CN35" s="210">
        <f t="shared" si="30"/>
        <v>0</v>
      </c>
      <c r="CO35" s="210">
        <f t="shared" si="51"/>
        <v>0</v>
      </c>
      <c r="CP35" s="210">
        <f t="shared" si="32"/>
        <v>0</v>
      </c>
      <c r="CQ35" s="210">
        <f t="shared" si="33"/>
        <v>0</v>
      </c>
      <c r="CR35" s="210">
        <f t="shared" si="52"/>
        <v>0</v>
      </c>
      <c r="CS35" s="210">
        <f t="shared" si="35"/>
        <v>0</v>
      </c>
      <c r="CT35" s="210">
        <f t="shared" si="36"/>
        <v>0</v>
      </c>
      <c r="CU35" s="210">
        <f t="shared" si="53"/>
        <v>0</v>
      </c>
      <c r="CV35" s="210">
        <f t="shared" si="38"/>
        <v>0</v>
      </c>
      <c r="CW35" s="210">
        <f t="shared" si="39"/>
        <v>0</v>
      </c>
      <c r="CX35" s="210">
        <f t="shared" si="54"/>
        <v>0</v>
      </c>
      <c r="CY35" s="299" t="s">
        <v>122</v>
      </c>
      <c r="CZ35" s="298" t="s">
        <v>57</v>
      </c>
      <c r="DA35" s="298" t="s">
        <v>57</v>
      </c>
      <c r="DB35" s="298" t="s">
        <v>345</v>
      </c>
      <c r="DC35" s="298" t="s">
        <v>250</v>
      </c>
      <c r="DD35" s="279" t="s">
        <v>262</v>
      </c>
      <c r="DE35" s="279" t="s">
        <v>263</v>
      </c>
      <c r="DF35" s="298" t="s">
        <v>56</v>
      </c>
      <c r="DG35" s="298" t="s">
        <v>56</v>
      </c>
      <c r="DH35" s="298" t="s">
        <v>56</v>
      </c>
      <c r="DI35" s="298" t="s">
        <v>56</v>
      </c>
      <c r="DJ35" s="280" t="s">
        <v>77</v>
      </c>
      <c r="DK35" s="280" t="s">
        <v>77</v>
      </c>
      <c r="DL35" s="280" t="s">
        <v>77</v>
      </c>
      <c r="DM35" s="280" t="s">
        <v>77</v>
      </c>
      <c r="DN35" s="280" t="s">
        <v>77</v>
      </c>
      <c r="DO35" s="279" t="s">
        <v>542</v>
      </c>
      <c r="DP35" s="279" t="s">
        <v>126</v>
      </c>
      <c r="DQ35" s="109" t="s">
        <v>131</v>
      </c>
      <c r="DR35" s="28"/>
      <c r="DS35" s="28"/>
      <c r="DT35" s="28"/>
      <c r="DU35" s="28"/>
      <c r="DV35" s="28"/>
      <c r="DW35" s="28"/>
      <c r="DX35" s="28"/>
      <c r="DY35" s="28"/>
    </row>
    <row r="36" spans="1:129" ht="269.25" customHeight="1" x14ac:dyDescent="0.2">
      <c r="A36" s="522" t="s">
        <v>25</v>
      </c>
      <c r="B36" s="15" t="s">
        <v>132</v>
      </c>
      <c r="C36" s="84"/>
      <c r="D36" s="241">
        <v>500</v>
      </c>
      <c r="E36" s="370" t="s">
        <v>744</v>
      </c>
      <c r="F36" s="280" t="s">
        <v>133</v>
      </c>
      <c r="G36" s="280" t="s">
        <v>77</v>
      </c>
      <c r="H36" s="286" t="s">
        <v>134</v>
      </c>
      <c r="I36" s="285" t="s">
        <v>506</v>
      </c>
      <c r="J36" s="279" t="s">
        <v>135</v>
      </c>
      <c r="K36" s="265" t="s">
        <v>758</v>
      </c>
      <c r="L36" s="280" t="s">
        <v>26</v>
      </c>
      <c r="M36" s="320">
        <v>10000</v>
      </c>
      <c r="N36" s="315" t="s">
        <v>77</v>
      </c>
      <c r="O36" s="327" t="s">
        <v>77</v>
      </c>
      <c r="P36" s="316" t="s">
        <v>77</v>
      </c>
      <c r="Q36" s="331">
        <v>0.75</v>
      </c>
      <c r="R36" s="331">
        <v>0.5</v>
      </c>
      <c r="S36" s="266">
        <v>8</v>
      </c>
      <c r="T36" s="266">
        <v>15</v>
      </c>
      <c r="U36" s="365">
        <v>0.5</v>
      </c>
      <c r="V36" s="266">
        <v>1</v>
      </c>
      <c r="W36" s="316" t="s">
        <v>77</v>
      </c>
      <c r="X36" s="51" t="s">
        <v>388</v>
      </c>
      <c r="Y36" s="150">
        <f t="shared" si="98"/>
        <v>1.82646</v>
      </c>
      <c r="Z36" s="150">
        <f t="shared" si="99"/>
        <v>3.4246124999999994</v>
      </c>
      <c r="AA36" s="4">
        <f t="shared" si="43"/>
        <v>0.82848225600000003</v>
      </c>
      <c r="AB36" s="4">
        <f t="shared" si="138"/>
        <v>1.5534042299999997</v>
      </c>
      <c r="AC36" s="150">
        <f t="shared" si="139"/>
        <v>1.190943243</v>
      </c>
      <c r="AD36" s="150">
        <f t="shared" si="100"/>
        <v>7.6102500000000003E-2</v>
      </c>
      <c r="AE36" s="150">
        <f t="shared" si="101"/>
        <v>0.15220500000000001</v>
      </c>
      <c r="AF36" s="4">
        <f t="shared" si="140"/>
        <v>3.4520094000000001E-2</v>
      </c>
      <c r="AG36" s="4">
        <f t="shared" si="141"/>
        <v>6.9040188000000002E-2</v>
      </c>
      <c r="AH36" s="76">
        <v>125</v>
      </c>
      <c r="AI36" s="76">
        <v>150</v>
      </c>
      <c r="AJ36" s="76">
        <f t="shared" si="55"/>
        <v>137.5</v>
      </c>
      <c r="AK36" s="76">
        <f t="shared" si="126"/>
        <v>125</v>
      </c>
      <c r="AL36" s="76">
        <f t="shared" si="127"/>
        <v>150</v>
      </c>
      <c r="AM36" s="76">
        <f t="shared" si="4"/>
        <v>137.5</v>
      </c>
      <c r="AN36" s="108">
        <v>0</v>
      </c>
      <c r="AO36" s="76">
        <v>0</v>
      </c>
      <c r="AP36" s="76">
        <f t="shared" si="58"/>
        <v>175</v>
      </c>
      <c r="AQ36" s="76">
        <f t="shared" si="59"/>
        <v>210</v>
      </c>
      <c r="AR36" s="76">
        <f t="shared" si="60"/>
        <v>192.5</v>
      </c>
      <c r="AS36" s="76">
        <v>1</v>
      </c>
      <c r="AT36" s="76">
        <v>2</v>
      </c>
      <c r="AU36" s="76">
        <f t="shared" si="67"/>
        <v>1.5</v>
      </c>
      <c r="AV36" s="76">
        <f t="shared" si="128"/>
        <v>1</v>
      </c>
      <c r="AW36" s="76">
        <f t="shared" si="129"/>
        <v>2</v>
      </c>
      <c r="AX36" s="76">
        <f t="shared" si="5"/>
        <v>1.5</v>
      </c>
      <c r="AY36" s="337">
        <v>0.75</v>
      </c>
      <c r="AZ36" s="51">
        <v>0.2</v>
      </c>
      <c r="BA36" s="51">
        <v>0.1</v>
      </c>
      <c r="BB36" s="338" t="s">
        <v>308</v>
      </c>
      <c r="BC36" s="76">
        <f t="shared" si="134"/>
        <v>210</v>
      </c>
      <c r="BD36" s="76">
        <f t="shared" si="135"/>
        <v>252</v>
      </c>
      <c r="BE36" s="76">
        <f t="shared" si="48"/>
        <v>231</v>
      </c>
      <c r="BF36" s="76">
        <f t="shared" si="136"/>
        <v>1.1000000000000001</v>
      </c>
      <c r="BG36" s="76">
        <f t="shared" si="137"/>
        <v>2.2000000000000002</v>
      </c>
      <c r="BH36" s="76">
        <f t="shared" si="6"/>
        <v>1.6500000000000001</v>
      </c>
      <c r="BI36" s="4">
        <v>10</v>
      </c>
      <c r="BJ36" s="76">
        <f>BE36</f>
        <v>231</v>
      </c>
      <c r="BK36" s="76">
        <f t="shared" si="7"/>
        <v>462</v>
      </c>
      <c r="BL36" s="116">
        <f t="shared" si="8"/>
        <v>228.87543211157856</v>
      </c>
      <c r="BM36" s="4">
        <f t="shared" si="9"/>
        <v>52.510724999999994</v>
      </c>
      <c r="BN36" s="4">
        <f t="shared" si="65"/>
        <v>23.818864859999998</v>
      </c>
      <c r="BO36" s="4">
        <f t="shared" si="10"/>
        <v>2.2830750000000002</v>
      </c>
      <c r="BP36" s="4">
        <f t="shared" si="66"/>
        <v>1.03560282</v>
      </c>
      <c r="BQ36" s="335">
        <f t="shared" si="11"/>
        <v>52.510724999999994</v>
      </c>
      <c r="BR36" s="335">
        <f t="shared" si="12"/>
        <v>23.818864859999998</v>
      </c>
      <c r="BS36" s="335">
        <f t="shared" si="13"/>
        <v>2.2830750000000002</v>
      </c>
      <c r="BT36" s="335">
        <f t="shared" si="14"/>
        <v>1.03560282</v>
      </c>
      <c r="BU36" s="76" t="str">
        <f t="shared" si="15"/>
        <v>N/A</v>
      </c>
      <c r="BV36" s="76" t="s">
        <v>77</v>
      </c>
      <c r="BW36" s="78">
        <f t="shared" si="17"/>
        <v>8.7577429584447479</v>
      </c>
      <c r="BX36" s="76">
        <f t="shared" si="18"/>
        <v>0.39158947177345166</v>
      </c>
      <c r="BY36" s="76">
        <f t="shared" si="19"/>
        <v>9.1493324302182</v>
      </c>
      <c r="BZ36" s="76">
        <f t="shared" si="20"/>
        <v>19.307193470998122</v>
      </c>
      <c r="CA36" s="76">
        <f t="shared" si="21"/>
        <v>0.86329248627304156</v>
      </c>
      <c r="CB36" s="76">
        <f t="shared" si="22"/>
        <v>20.170485957271165</v>
      </c>
      <c r="CC36" s="76">
        <f t="shared" si="23"/>
        <v>201.42808804422918</v>
      </c>
      <c r="CD36" s="76">
        <f t="shared" si="24"/>
        <v>9.0065578507893864</v>
      </c>
      <c r="CE36" s="76">
        <f t="shared" si="25"/>
        <v>210.43464589501858</v>
      </c>
      <c r="CF36" s="76">
        <f t="shared" si="26"/>
        <v>444.06544983295674</v>
      </c>
      <c r="CG36" s="76">
        <f t="shared" si="27"/>
        <v>19.855727184279953</v>
      </c>
      <c r="CH36" s="76">
        <f t="shared" si="28"/>
        <v>463.92117701723669</v>
      </c>
      <c r="CI36" s="41">
        <f t="shared" si="82"/>
        <v>65.323720968954589</v>
      </c>
      <c r="CJ36" s="41">
        <f t="shared" si="83"/>
        <v>152.98274408067408</v>
      </c>
      <c r="CK36" s="41">
        <f t="shared" si="84"/>
        <v>1469.7837218014781</v>
      </c>
      <c r="CL36" s="41">
        <f t="shared" si="85"/>
        <v>3671.5858579361775</v>
      </c>
      <c r="CM36" s="359">
        <f t="shared" si="29"/>
        <v>8.7577429584447479</v>
      </c>
      <c r="CN36" s="210">
        <f t="shared" si="30"/>
        <v>0.39158947177345166</v>
      </c>
      <c r="CO36" s="210">
        <f t="shared" si="51"/>
        <v>9.1493324302182</v>
      </c>
      <c r="CP36" s="210">
        <f t="shared" si="32"/>
        <v>19.307193470998122</v>
      </c>
      <c r="CQ36" s="210">
        <f t="shared" si="33"/>
        <v>0.86329248627304156</v>
      </c>
      <c r="CR36" s="210">
        <f t="shared" si="52"/>
        <v>20.170485957271165</v>
      </c>
      <c r="CS36" s="210">
        <f t="shared" si="35"/>
        <v>201.42808804422918</v>
      </c>
      <c r="CT36" s="210">
        <f t="shared" si="36"/>
        <v>9.0065578507893864</v>
      </c>
      <c r="CU36" s="210">
        <f t="shared" si="53"/>
        <v>210.43464589501858</v>
      </c>
      <c r="CV36" s="210">
        <f t="shared" si="38"/>
        <v>444.06544983295674</v>
      </c>
      <c r="CW36" s="210">
        <f t="shared" si="39"/>
        <v>19.855727184279953</v>
      </c>
      <c r="CX36" s="210">
        <f t="shared" si="54"/>
        <v>463.92117701723669</v>
      </c>
      <c r="CY36" s="299" t="s">
        <v>122</v>
      </c>
      <c r="CZ36" s="298" t="s">
        <v>57</v>
      </c>
      <c r="DA36" s="298" t="s">
        <v>57</v>
      </c>
      <c r="DB36" s="298" t="s">
        <v>348</v>
      </c>
      <c r="DC36" s="298" t="s">
        <v>56</v>
      </c>
      <c r="DD36" s="279" t="s">
        <v>264</v>
      </c>
      <c r="DE36" s="279" t="s">
        <v>265</v>
      </c>
      <c r="DF36" s="298" t="s">
        <v>56</v>
      </c>
      <c r="DG36" s="298" t="s">
        <v>56</v>
      </c>
      <c r="DH36" s="298" t="s">
        <v>56</v>
      </c>
      <c r="DI36" s="298" t="s">
        <v>56</v>
      </c>
      <c r="DJ36" s="279" t="s">
        <v>378</v>
      </c>
      <c r="DK36" s="280" t="s">
        <v>373</v>
      </c>
      <c r="DL36" s="280" t="s">
        <v>365</v>
      </c>
      <c r="DM36" s="279" t="s">
        <v>378</v>
      </c>
      <c r="DN36" s="280" t="s">
        <v>552</v>
      </c>
      <c r="DO36" s="110" t="s">
        <v>759</v>
      </c>
      <c r="DP36" s="279" t="s">
        <v>489</v>
      </c>
      <c r="DQ36" s="111"/>
      <c r="DR36" s="28"/>
      <c r="DS36" s="28"/>
      <c r="DT36" s="28"/>
      <c r="DU36" s="28"/>
      <c r="DV36" s="28"/>
      <c r="DW36" s="28"/>
      <c r="DX36" s="28"/>
      <c r="DY36" s="28"/>
    </row>
    <row r="37" spans="1:129" ht="185.25" customHeight="1" x14ac:dyDescent="0.2">
      <c r="A37" s="522"/>
      <c r="B37" s="15" t="s">
        <v>457</v>
      </c>
      <c r="C37" s="84"/>
      <c r="D37" s="241">
        <v>501</v>
      </c>
      <c r="E37" s="370" t="s">
        <v>745</v>
      </c>
      <c r="F37" s="280" t="s">
        <v>133</v>
      </c>
      <c r="G37" s="280" t="s">
        <v>77</v>
      </c>
      <c r="H37" s="286" t="s">
        <v>134</v>
      </c>
      <c r="I37" s="285" t="s">
        <v>506</v>
      </c>
      <c r="J37" s="279" t="s">
        <v>286</v>
      </c>
      <c r="K37" s="265" t="s">
        <v>693</v>
      </c>
      <c r="L37" s="280" t="s">
        <v>9</v>
      </c>
      <c r="M37" s="321" t="s">
        <v>77</v>
      </c>
      <c r="N37" s="314">
        <v>1</v>
      </c>
      <c r="O37" s="11" t="s">
        <v>77</v>
      </c>
      <c r="P37" s="316" t="s">
        <v>77</v>
      </c>
      <c r="Q37" s="146">
        <f>$Q$113</f>
        <v>1</v>
      </c>
      <c r="R37" s="146">
        <f t="shared" ref="R37" si="142">$R$113</f>
        <v>0.5</v>
      </c>
      <c r="S37" s="4">
        <v>5</v>
      </c>
      <c r="T37" s="4">
        <v>12</v>
      </c>
      <c r="U37" s="4">
        <v>0</v>
      </c>
      <c r="V37" s="4">
        <v>0</v>
      </c>
      <c r="W37" s="194">
        <f t="shared" si="42"/>
        <v>0.9468843537414966</v>
      </c>
      <c r="X37" s="51" t="s">
        <v>77</v>
      </c>
      <c r="Y37" s="271">
        <f>N37*$W$108</f>
        <v>100</v>
      </c>
      <c r="Z37" s="271">
        <f>N37*$X$108</f>
        <v>150</v>
      </c>
      <c r="AA37" s="150">
        <f t="shared" si="43"/>
        <v>45.36</v>
      </c>
      <c r="AB37" s="150">
        <f t="shared" si="138"/>
        <v>68.040000000000006</v>
      </c>
      <c r="AC37" s="150">
        <f t="shared" si="139"/>
        <v>56.7</v>
      </c>
      <c r="AD37" s="150">
        <v>0</v>
      </c>
      <c r="AE37" s="150">
        <v>0</v>
      </c>
      <c r="AF37" s="150">
        <f t="shared" si="140"/>
        <v>0</v>
      </c>
      <c r="AG37" s="150">
        <f t="shared" si="141"/>
        <v>0</v>
      </c>
      <c r="AH37" s="76">
        <v>35000</v>
      </c>
      <c r="AI37" s="76">
        <v>75000</v>
      </c>
      <c r="AJ37" s="76">
        <f t="shared" si="55"/>
        <v>55000</v>
      </c>
      <c r="AK37" s="76">
        <f t="shared" si="126"/>
        <v>35000</v>
      </c>
      <c r="AL37" s="76">
        <f t="shared" si="127"/>
        <v>75000</v>
      </c>
      <c r="AM37" s="76">
        <f t="shared" si="4"/>
        <v>55000</v>
      </c>
      <c r="AN37" s="108">
        <v>0.5</v>
      </c>
      <c r="AO37" s="76">
        <v>0</v>
      </c>
      <c r="AP37" s="76">
        <f t="shared" si="58"/>
        <v>49000</v>
      </c>
      <c r="AQ37" s="76">
        <f t="shared" si="59"/>
        <v>105000</v>
      </c>
      <c r="AR37" s="76">
        <f t="shared" si="60"/>
        <v>77000</v>
      </c>
      <c r="AS37" s="76">
        <v>3000</v>
      </c>
      <c r="AT37" s="76">
        <v>8000</v>
      </c>
      <c r="AU37" s="76">
        <f t="shared" si="67"/>
        <v>5500</v>
      </c>
      <c r="AV37" s="76">
        <f t="shared" si="128"/>
        <v>3000</v>
      </c>
      <c r="AW37" s="76">
        <f t="shared" si="129"/>
        <v>8000</v>
      </c>
      <c r="AX37" s="76">
        <f t="shared" si="5"/>
        <v>5500</v>
      </c>
      <c r="AY37" s="337">
        <v>0.75</v>
      </c>
      <c r="AZ37" s="51">
        <v>0.2</v>
      </c>
      <c r="BA37" s="51">
        <v>0.1</v>
      </c>
      <c r="BB37" s="338" t="s">
        <v>304</v>
      </c>
      <c r="BC37" s="76">
        <f t="shared" si="134"/>
        <v>58800</v>
      </c>
      <c r="BD37" s="76">
        <f t="shared" si="135"/>
        <v>126000</v>
      </c>
      <c r="BE37" s="76">
        <f t="shared" si="48"/>
        <v>92400</v>
      </c>
      <c r="BF37" s="76">
        <f t="shared" si="136"/>
        <v>3300.0000000000005</v>
      </c>
      <c r="BG37" s="76">
        <f t="shared" si="137"/>
        <v>8800</v>
      </c>
      <c r="BH37" s="76">
        <f t="shared" si="6"/>
        <v>6050.0000000000009</v>
      </c>
      <c r="BI37" s="4">
        <v>20</v>
      </c>
      <c r="BJ37" s="76">
        <f>BE37*0.5</f>
        <v>46200</v>
      </c>
      <c r="BK37" s="76">
        <f t="shared" si="7"/>
        <v>46200</v>
      </c>
      <c r="BL37" s="116">
        <f t="shared" si="8"/>
        <v>17412.294108732629</v>
      </c>
      <c r="BM37" s="4">
        <f t="shared" si="9"/>
        <v>2500</v>
      </c>
      <c r="BN37" s="4">
        <f t="shared" si="65"/>
        <v>1134</v>
      </c>
      <c r="BO37" s="4">
        <f t="shared" si="10"/>
        <v>0</v>
      </c>
      <c r="BP37" s="4">
        <f t="shared" si="66"/>
        <v>0</v>
      </c>
      <c r="BQ37" s="335">
        <f t="shared" si="11"/>
        <v>2500</v>
      </c>
      <c r="BR37" s="335">
        <f t="shared" si="12"/>
        <v>1134</v>
      </c>
      <c r="BS37" s="335">
        <f t="shared" si="13"/>
        <v>0</v>
      </c>
      <c r="BT37" s="335">
        <f t="shared" si="14"/>
        <v>0</v>
      </c>
      <c r="BU37" s="76" t="str">
        <f t="shared" si="15"/>
        <v>N/A</v>
      </c>
      <c r="BV37" s="76" t="s">
        <v>77</v>
      </c>
      <c r="BW37" s="88">
        <f t="shared" si="17"/>
        <v>43.924917643493053</v>
      </c>
      <c r="BX37" s="89">
        <f t="shared" si="18"/>
        <v>30.158549028946769</v>
      </c>
      <c r="BY37" s="89">
        <f t="shared" si="19"/>
        <v>74.083466672439826</v>
      </c>
      <c r="BZ37" s="89">
        <f t="shared" si="20"/>
        <v>96.836238191122249</v>
      </c>
      <c r="CA37" s="89">
        <f t="shared" si="21"/>
        <v>66.487101033833255</v>
      </c>
      <c r="CB37" s="89">
        <f t="shared" si="22"/>
        <v>163.3233392249555</v>
      </c>
      <c r="CC37" s="89">
        <f t="shared" si="23"/>
        <v>0</v>
      </c>
      <c r="CD37" s="89">
        <f t="shared" si="24"/>
        <v>0</v>
      </c>
      <c r="CE37" s="89">
        <f t="shared" si="25"/>
        <v>0</v>
      </c>
      <c r="CF37" s="89">
        <f t="shared" si="26"/>
        <v>0</v>
      </c>
      <c r="CG37" s="89">
        <f t="shared" si="27"/>
        <v>0</v>
      </c>
      <c r="CH37" s="89">
        <f t="shared" si="28"/>
        <v>0</v>
      </c>
      <c r="CI37" s="41">
        <f t="shared" si="82"/>
        <v>666.16862753587964</v>
      </c>
      <c r="CJ37" s="41">
        <f t="shared" si="83"/>
        <v>2356.674510143519</v>
      </c>
      <c r="CK37" s="41">
        <f t="shared" si="84"/>
        <v>0</v>
      </c>
      <c r="CL37" s="41">
        <f t="shared" si="85"/>
        <v>0</v>
      </c>
      <c r="CM37" s="359">
        <f t="shared" si="29"/>
        <v>43.924917643493053</v>
      </c>
      <c r="CN37" s="210">
        <f t="shared" si="30"/>
        <v>30.158549028946769</v>
      </c>
      <c r="CO37" s="210">
        <f t="shared" si="51"/>
        <v>74.083466672439826</v>
      </c>
      <c r="CP37" s="210">
        <f t="shared" si="32"/>
        <v>96.836238191122249</v>
      </c>
      <c r="CQ37" s="210">
        <f t="shared" si="33"/>
        <v>66.487101033833255</v>
      </c>
      <c r="CR37" s="210">
        <f t="shared" si="52"/>
        <v>163.3233392249555</v>
      </c>
      <c r="CS37" s="210">
        <f t="shared" si="35"/>
        <v>0</v>
      </c>
      <c r="CT37" s="210">
        <f t="shared" si="36"/>
        <v>0</v>
      </c>
      <c r="CU37" s="210">
        <f t="shared" si="53"/>
        <v>0</v>
      </c>
      <c r="CV37" s="210">
        <f t="shared" si="38"/>
        <v>0</v>
      </c>
      <c r="CW37" s="210">
        <f t="shared" si="39"/>
        <v>0</v>
      </c>
      <c r="CX37" s="210">
        <f t="shared" si="54"/>
        <v>0</v>
      </c>
      <c r="CY37" s="299" t="s">
        <v>122</v>
      </c>
      <c r="CZ37" s="298" t="s">
        <v>57</v>
      </c>
      <c r="DA37" s="298" t="s">
        <v>57</v>
      </c>
      <c r="DB37" s="298" t="s">
        <v>348</v>
      </c>
      <c r="DC37" s="298" t="s">
        <v>57</v>
      </c>
      <c r="DD37" s="279" t="s">
        <v>326</v>
      </c>
      <c r="DE37" s="279"/>
      <c r="DF37" s="298" t="s">
        <v>56</v>
      </c>
      <c r="DG37" s="298" t="s">
        <v>56</v>
      </c>
      <c r="DH37" s="298" t="s">
        <v>56</v>
      </c>
      <c r="DI37" s="298" t="s">
        <v>56</v>
      </c>
      <c r="DJ37" s="279" t="s">
        <v>378</v>
      </c>
      <c r="DK37" s="280" t="s">
        <v>373</v>
      </c>
      <c r="DL37" s="279" t="s">
        <v>365</v>
      </c>
      <c r="DM37" s="279" t="s">
        <v>378</v>
      </c>
      <c r="DN37" s="280" t="s">
        <v>552</v>
      </c>
      <c r="DO37" s="110" t="s">
        <v>540</v>
      </c>
      <c r="DP37" s="279" t="s">
        <v>399</v>
      </c>
      <c r="DQ37" s="111"/>
      <c r="DR37" s="28"/>
      <c r="DS37" s="28"/>
      <c r="DT37" s="28"/>
      <c r="DU37" s="28"/>
      <c r="DV37" s="28"/>
      <c r="DW37" s="28"/>
      <c r="DX37" s="28"/>
      <c r="DY37" s="28"/>
    </row>
    <row r="38" spans="1:129" ht="242.25" customHeight="1" x14ac:dyDescent="0.2">
      <c r="A38" s="522"/>
      <c r="B38" s="15" t="s">
        <v>356</v>
      </c>
      <c r="C38" s="84"/>
      <c r="D38" s="241">
        <v>502</v>
      </c>
      <c r="E38" s="370" t="s">
        <v>746</v>
      </c>
      <c r="F38" s="280" t="s">
        <v>133</v>
      </c>
      <c r="G38" s="280" t="s">
        <v>77</v>
      </c>
      <c r="H38" s="286" t="s">
        <v>134</v>
      </c>
      <c r="I38" s="285" t="s">
        <v>500</v>
      </c>
      <c r="J38" s="279" t="s">
        <v>334</v>
      </c>
      <c r="K38" s="265" t="s">
        <v>694</v>
      </c>
      <c r="L38" s="280" t="s">
        <v>38</v>
      </c>
      <c r="M38" s="322">
        <v>1500</v>
      </c>
      <c r="N38" s="315" t="s">
        <v>77</v>
      </c>
      <c r="O38" s="313">
        <v>1</v>
      </c>
      <c r="P38" s="316" t="s">
        <v>77</v>
      </c>
      <c r="Q38" s="331">
        <v>0.75</v>
      </c>
      <c r="R38" s="331">
        <v>0.5</v>
      </c>
      <c r="S38" s="4">
        <v>8</v>
      </c>
      <c r="T38" s="4">
        <v>15</v>
      </c>
      <c r="U38" s="150">
        <v>0.5</v>
      </c>
      <c r="V38" s="4">
        <v>1</v>
      </c>
      <c r="W38" s="194">
        <f t="shared" si="42"/>
        <v>0.96146938775510205</v>
      </c>
      <c r="X38" s="51" t="s">
        <v>388</v>
      </c>
      <c r="Y38" s="150">
        <f>((($Q38)*($S38)/100))*(8.34*($M38/1000000))*365</f>
        <v>0.27396900000000002</v>
      </c>
      <c r="Z38" s="150">
        <f>((($Q38)*($T38/100))*(8.34*($M38/1000000)))*365</f>
        <v>0.51369187500000002</v>
      </c>
      <c r="AA38" s="150">
        <f t="shared" si="43"/>
        <v>0.12427233840000002</v>
      </c>
      <c r="AB38" s="150">
        <f t="shared" si="138"/>
        <v>0.23301063450000001</v>
      </c>
      <c r="AC38" s="150">
        <f t="shared" si="139"/>
        <v>0.17864148645</v>
      </c>
      <c r="AD38" s="150">
        <f>((($R38)*($U38/100))*(8.34*($M38/1000000)))*365</f>
        <v>1.1415375E-2</v>
      </c>
      <c r="AE38" s="150">
        <f>((($R38)*($V38/100))*(8.34*($M38/1000000)))*365</f>
        <v>2.283075E-2</v>
      </c>
      <c r="AF38" s="150">
        <f t="shared" si="140"/>
        <v>5.1780141000000003E-3</v>
      </c>
      <c r="AG38" s="150">
        <f t="shared" si="141"/>
        <v>1.0356028200000001E-2</v>
      </c>
      <c r="AH38" s="76">
        <v>20</v>
      </c>
      <c r="AI38" s="76">
        <v>30</v>
      </c>
      <c r="AJ38" s="76">
        <f t="shared" si="55"/>
        <v>25</v>
      </c>
      <c r="AK38" s="76">
        <f t="shared" si="126"/>
        <v>20</v>
      </c>
      <c r="AL38" s="76">
        <f t="shared" si="127"/>
        <v>30</v>
      </c>
      <c r="AM38" s="76">
        <f t="shared" si="4"/>
        <v>25</v>
      </c>
      <c r="AN38" s="108">
        <v>0.4</v>
      </c>
      <c r="AO38" s="76">
        <v>0</v>
      </c>
      <c r="AP38" s="76">
        <f t="shared" si="58"/>
        <v>28</v>
      </c>
      <c r="AQ38" s="76">
        <f t="shared" si="59"/>
        <v>42</v>
      </c>
      <c r="AR38" s="76">
        <f t="shared" si="60"/>
        <v>35</v>
      </c>
      <c r="AS38" s="76">
        <v>1</v>
      </c>
      <c r="AT38" s="76">
        <v>2</v>
      </c>
      <c r="AU38" s="76">
        <f t="shared" si="67"/>
        <v>1.5</v>
      </c>
      <c r="AV38" s="76">
        <f t="shared" si="128"/>
        <v>1</v>
      </c>
      <c r="AW38" s="76">
        <f t="shared" si="129"/>
        <v>2</v>
      </c>
      <c r="AX38" s="76">
        <f t="shared" si="5"/>
        <v>1.5</v>
      </c>
      <c r="AY38" s="337">
        <v>0.75</v>
      </c>
      <c r="AZ38" s="51">
        <v>0.2</v>
      </c>
      <c r="BA38" s="51">
        <v>0.1</v>
      </c>
      <c r="BB38" s="338" t="s">
        <v>304</v>
      </c>
      <c r="BC38" s="76">
        <f t="shared" si="134"/>
        <v>33.6</v>
      </c>
      <c r="BD38" s="76">
        <f t="shared" si="135"/>
        <v>50.4</v>
      </c>
      <c r="BE38" s="76">
        <f t="shared" si="48"/>
        <v>42</v>
      </c>
      <c r="BF38" s="76">
        <f t="shared" si="136"/>
        <v>1.1000000000000001</v>
      </c>
      <c r="BG38" s="76">
        <f t="shared" si="137"/>
        <v>2.2000000000000002</v>
      </c>
      <c r="BH38" s="76">
        <f t="shared" si="6"/>
        <v>1.6500000000000001</v>
      </c>
      <c r="BI38" s="4">
        <v>20</v>
      </c>
      <c r="BJ38" s="76">
        <f>BE38*0.5</f>
        <v>21</v>
      </c>
      <c r="BK38" s="76">
        <f t="shared" si="7"/>
        <v>21</v>
      </c>
      <c r="BL38" s="116">
        <f t="shared" si="8"/>
        <v>7.9146791403330123</v>
      </c>
      <c r="BM38" s="4">
        <f t="shared" si="9"/>
        <v>7.8766087500000008</v>
      </c>
      <c r="BN38" s="4">
        <f t="shared" si="65"/>
        <v>3.5728297290000004</v>
      </c>
      <c r="BO38" s="4">
        <f t="shared" si="10"/>
        <v>0.34246125000000005</v>
      </c>
      <c r="BP38" s="4">
        <f t="shared" si="66"/>
        <v>0.15534042300000003</v>
      </c>
      <c r="BQ38" s="335">
        <f t="shared" si="11"/>
        <v>7.8766087500000008</v>
      </c>
      <c r="BR38" s="335">
        <f t="shared" si="12"/>
        <v>3.5728297290000004</v>
      </c>
      <c r="BS38" s="335">
        <f t="shared" si="13"/>
        <v>0.34246125000000005</v>
      </c>
      <c r="BT38" s="335">
        <f t="shared" si="14"/>
        <v>0.15534042300000003</v>
      </c>
      <c r="BU38" s="76" t="str">
        <f t="shared" si="15"/>
        <v>N/A</v>
      </c>
      <c r="BV38" s="76" t="s">
        <v>77</v>
      </c>
      <c r="BW38" s="88">
        <f t="shared" si="17"/>
        <v>6.3370773799489548</v>
      </c>
      <c r="BX38" s="89">
        <f t="shared" si="18"/>
        <v>2.6105964784896774</v>
      </c>
      <c r="BY38" s="89">
        <f t="shared" si="19"/>
        <v>8.9476738584386322</v>
      </c>
      <c r="BZ38" s="89">
        <f t="shared" si="20"/>
        <v>13.970629144508276</v>
      </c>
      <c r="CA38" s="89">
        <f t="shared" si="21"/>
        <v>5.7552832418202762</v>
      </c>
      <c r="CB38" s="89">
        <f t="shared" si="22"/>
        <v>19.725912386328552</v>
      </c>
      <c r="CC38" s="89">
        <f t="shared" si="23"/>
        <v>145.75277973882595</v>
      </c>
      <c r="CD38" s="89">
        <f t="shared" si="24"/>
        <v>60.043719005262574</v>
      </c>
      <c r="CE38" s="89">
        <f t="shared" si="25"/>
        <v>205.79649874408852</v>
      </c>
      <c r="CF38" s="89">
        <f t="shared" si="26"/>
        <v>321.32447032369032</v>
      </c>
      <c r="CG38" s="89">
        <f t="shared" si="27"/>
        <v>132.37151456186632</v>
      </c>
      <c r="CH38" s="89">
        <f t="shared" si="28"/>
        <v>453.69598488555664</v>
      </c>
      <c r="CI38" s="41">
        <f t="shared" si="82"/>
        <v>92.094957462182919</v>
      </c>
      <c r="CJ38" s="41">
        <f t="shared" si="83"/>
        <v>284.03528411458217</v>
      </c>
      <c r="CK38" s="41">
        <f t="shared" si="84"/>
        <v>2072.1365428991157</v>
      </c>
      <c r="CL38" s="41">
        <f t="shared" si="85"/>
        <v>6816.846818749973</v>
      </c>
      <c r="CM38" s="359">
        <f t="shared" si="29"/>
        <v>6.3370773799489548</v>
      </c>
      <c r="CN38" s="210">
        <f t="shared" si="30"/>
        <v>2.6105964784896774</v>
      </c>
      <c r="CO38" s="210">
        <f t="shared" si="51"/>
        <v>8.9476738584386322</v>
      </c>
      <c r="CP38" s="210">
        <f t="shared" si="32"/>
        <v>13.970629144508276</v>
      </c>
      <c r="CQ38" s="210">
        <f t="shared" si="33"/>
        <v>5.7552832418202762</v>
      </c>
      <c r="CR38" s="210">
        <f t="shared" si="52"/>
        <v>19.725912386328552</v>
      </c>
      <c r="CS38" s="210">
        <f t="shared" si="35"/>
        <v>145.75277973882595</v>
      </c>
      <c r="CT38" s="210">
        <f t="shared" si="36"/>
        <v>60.043719005262574</v>
      </c>
      <c r="CU38" s="210">
        <f t="shared" si="53"/>
        <v>205.79649874408852</v>
      </c>
      <c r="CV38" s="210">
        <f t="shared" si="38"/>
        <v>321.32447032369032</v>
      </c>
      <c r="CW38" s="210">
        <f t="shared" si="39"/>
        <v>132.37151456186632</v>
      </c>
      <c r="CX38" s="210">
        <f t="shared" si="54"/>
        <v>453.69598488555664</v>
      </c>
      <c r="CY38" s="299" t="s">
        <v>122</v>
      </c>
      <c r="CZ38" s="298" t="s">
        <v>57</v>
      </c>
      <c r="DA38" s="298" t="s">
        <v>57</v>
      </c>
      <c r="DB38" s="298" t="s">
        <v>348</v>
      </c>
      <c r="DC38" s="298" t="s">
        <v>57</v>
      </c>
      <c r="DD38" s="279" t="s">
        <v>327</v>
      </c>
      <c r="DE38" s="279"/>
      <c r="DF38" s="298" t="s">
        <v>56</v>
      </c>
      <c r="DG38" s="298" t="s">
        <v>56</v>
      </c>
      <c r="DH38" s="298" t="s">
        <v>56</v>
      </c>
      <c r="DI38" s="298" t="s">
        <v>56</v>
      </c>
      <c r="DJ38" s="279" t="s">
        <v>378</v>
      </c>
      <c r="DK38" s="280" t="s">
        <v>373</v>
      </c>
      <c r="DL38" s="279" t="s">
        <v>365</v>
      </c>
      <c r="DM38" s="279" t="s">
        <v>378</v>
      </c>
      <c r="DN38" s="280" t="s">
        <v>552</v>
      </c>
      <c r="DO38" s="279" t="s">
        <v>541</v>
      </c>
      <c r="DP38" s="279"/>
      <c r="DQ38" s="111"/>
      <c r="DR38" s="28"/>
      <c r="DS38" s="28"/>
      <c r="DT38" s="28"/>
      <c r="DU38" s="28"/>
      <c r="DV38" s="28"/>
      <c r="DW38" s="28"/>
      <c r="DX38" s="28"/>
      <c r="DY38" s="28"/>
    </row>
    <row r="39" spans="1:129" ht="169.5" customHeight="1" x14ac:dyDescent="0.2">
      <c r="A39" s="522"/>
      <c r="B39" s="15" t="s">
        <v>284</v>
      </c>
      <c r="C39" s="84"/>
      <c r="D39" s="241">
        <v>503</v>
      </c>
      <c r="E39" s="370" t="s">
        <v>747</v>
      </c>
      <c r="F39" s="280" t="s">
        <v>133</v>
      </c>
      <c r="G39" s="280" t="s">
        <v>77</v>
      </c>
      <c r="H39" s="286" t="s">
        <v>134</v>
      </c>
      <c r="I39" s="285" t="s">
        <v>474</v>
      </c>
      <c r="J39" s="279" t="s">
        <v>285</v>
      </c>
      <c r="K39" s="265" t="s">
        <v>679</v>
      </c>
      <c r="L39" s="280" t="s">
        <v>11</v>
      </c>
      <c r="M39" s="322" t="s">
        <v>77</v>
      </c>
      <c r="N39" s="315" t="s">
        <v>77</v>
      </c>
      <c r="O39" s="11" t="s">
        <v>77</v>
      </c>
      <c r="P39" s="316" t="s">
        <v>77</v>
      </c>
      <c r="Q39" s="144" t="s">
        <v>77</v>
      </c>
      <c r="R39" s="144" t="s">
        <v>77</v>
      </c>
      <c r="S39" s="4">
        <v>0</v>
      </c>
      <c r="T39" s="4">
        <v>0</v>
      </c>
      <c r="U39" s="4">
        <v>0</v>
      </c>
      <c r="V39" s="4">
        <v>0</v>
      </c>
      <c r="W39" s="194" t="s">
        <v>77</v>
      </c>
      <c r="X39" s="51" t="s">
        <v>388</v>
      </c>
      <c r="Y39" s="150">
        <v>0</v>
      </c>
      <c r="Z39" s="150">
        <v>0</v>
      </c>
      <c r="AA39" s="150">
        <f t="shared" si="43"/>
        <v>0</v>
      </c>
      <c r="AB39" s="150">
        <f t="shared" ref="AB39:AB40" si="143">Z39*0.4536</f>
        <v>0</v>
      </c>
      <c r="AC39" s="150">
        <f t="shared" ref="AC39:AC40" si="144">(AA39+AB39)/2</f>
        <v>0</v>
      </c>
      <c r="AD39" s="150">
        <v>0</v>
      </c>
      <c r="AE39" s="150">
        <v>0</v>
      </c>
      <c r="AF39" s="150">
        <f t="shared" ref="AF39:AF41" si="145">AD39*0.4536</f>
        <v>0</v>
      </c>
      <c r="AG39" s="150">
        <f t="shared" ref="AG39:AG41" si="146">AE39*0.4536</f>
        <v>0</v>
      </c>
      <c r="AH39" s="76">
        <v>15000</v>
      </c>
      <c r="AI39" s="76">
        <v>35000</v>
      </c>
      <c r="AJ39" s="76">
        <f t="shared" si="55"/>
        <v>25000</v>
      </c>
      <c r="AK39" s="76">
        <f t="shared" si="126"/>
        <v>15000</v>
      </c>
      <c r="AL39" s="76">
        <f t="shared" si="127"/>
        <v>35000</v>
      </c>
      <c r="AM39" s="76">
        <f t="shared" ref="AM39:AM70" si="147">AJ39*($AA$99/$AA$97)</f>
        <v>25000</v>
      </c>
      <c r="AN39" s="108">
        <v>0.25</v>
      </c>
      <c r="AO39" s="76">
        <v>0</v>
      </c>
      <c r="AP39" s="76">
        <f>AK39*(1+$AN$2)</f>
        <v>21000</v>
      </c>
      <c r="AQ39" s="76">
        <f>AL39*(1+$AN$2)</f>
        <v>49000</v>
      </c>
      <c r="AR39" s="76">
        <f t="shared" si="60"/>
        <v>35000</v>
      </c>
      <c r="AS39" s="76">
        <v>3000</v>
      </c>
      <c r="AT39" s="76">
        <v>5000</v>
      </c>
      <c r="AU39" s="76">
        <f t="shared" si="67"/>
        <v>4000</v>
      </c>
      <c r="AV39" s="76">
        <f t="shared" si="128"/>
        <v>3000</v>
      </c>
      <c r="AW39" s="76">
        <f t="shared" si="129"/>
        <v>5000</v>
      </c>
      <c r="AX39" s="76">
        <f t="shared" ref="AX39:AX70" si="148">AU39*($AA$99/$AA$97)</f>
        <v>4000</v>
      </c>
      <c r="AY39" s="337">
        <v>0</v>
      </c>
      <c r="AZ39" s="51">
        <v>0</v>
      </c>
      <c r="BA39" s="51">
        <v>0</v>
      </c>
      <c r="BB39" s="338"/>
      <c r="BC39" s="76">
        <f t="shared" ref="BC39" si="149">AP39*(1+$AZ39)</f>
        <v>21000</v>
      </c>
      <c r="BD39" s="76">
        <f t="shared" ref="BD39" si="150">AQ39*(1+$AZ39)</f>
        <v>49000</v>
      </c>
      <c r="BE39" s="76">
        <f t="shared" si="48"/>
        <v>35000</v>
      </c>
      <c r="BF39" s="76">
        <f t="shared" ref="BF39" si="151">AV39*(1+$BA39)</f>
        <v>3000</v>
      </c>
      <c r="BG39" s="76">
        <f t="shared" ref="BG39" si="152">AW39*(1+$BA39)</f>
        <v>5000</v>
      </c>
      <c r="BH39" s="76">
        <f t="shared" si="6"/>
        <v>4000</v>
      </c>
      <c r="BI39" s="4">
        <v>10</v>
      </c>
      <c r="BJ39" s="76">
        <v>20000</v>
      </c>
      <c r="BK39" s="76">
        <f t="shared" si="7"/>
        <v>40000</v>
      </c>
      <c r="BL39" s="116">
        <f t="shared" ref="BL39:BL69" si="153">PV(((1+$BY$2)^BI39)-1,ROUNDUP($CB$2/BI39,0),-BJ39,0,0)</f>
        <v>19816.054728275201</v>
      </c>
      <c r="BM39" s="4" t="s">
        <v>77</v>
      </c>
      <c r="BN39" s="4" t="s">
        <v>77</v>
      </c>
      <c r="BO39" s="4" t="s">
        <v>77</v>
      </c>
      <c r="BP39" s="4" t="s">
        <v>77</v>
      </c>
      <c r="BQ39" s="4" t="s">
        <v>77</v>
      </c>
      <c r="BR39" s="4" t="s">
        <v>77</v>
      </c>
      <c r="BS39" s="4" t="s">
        <v>77</v>
      </c>
      <c r="BT39" s="4" t="s">
        <v>77</v>
      </c>
      <c r="BU39" s="76">
        <f t="shared" ref="BU39:BU64" si="154">IF((Y39+Z39+AD39+AE39=0),(BE39+PV($BY$2,$CB$2,-BH39,0,0)),"N/A")</f>
        <v>84848.841370159935</v>
      </c>
      <c r="BV39" s="76" t="s">
        <v>77</v>
      </c>
      <c r="BW39" s="76" t="s">
        <v>77</v>
      </c>
      <c r="BX39" s="76" t="s">
        <v>77</v>
      </c>
      <c r="BY39" s="76" t="s">
        <v>77</v>
      </c>
      <c r="BZ39" s="76" t="s">
        <v>77</v>
      </c>
      <c r="CA39" s="76" t="s">
        <v>77</v>
      </c>
      <c r="CB39" s="76" t="s">
        <v>77</v>
      </c>
      <c r="CC39" s="76" t="s">
        <v>77</v>
      </c>
      <c r="CD39" s="76" t="s">
        <v>77</v>
      </c>
      <c r="CE39" s="76" t="s">
        <v>77</v>
      </c>
      <c r="CF39" s="76" t="s">
        <v>77</v>
      </c>
      <c r="CG39" s="76" t="s">
        <v>77</v>
      </c>
      <c r="CH39" s="76" t="s">
        <v>77</v>
      </c>
      <c r="CI39" s="41">
        <f t="shared" si="82"/>
        <v>0</v>
      </c>
      <c r="CJ39" s="41">
        <f t="shared" si="83"/>
        <v>0</v>
      </c>
      <c r="CK39" s="41">
        <f t="shared" si="84"/>
        <v>0</v>
      </c>
      <c r="CL39" s="41">
        <f t="shared" si="85"/>
        <v>0</v>
      </c>
      <c r="CM39" s="76" t="s">
        <v>77</v>
      </c>
      <c r="CN39" s="76" t="s">
        <v>77</v>
      </c>
      <c r="CO39" s="76" t="s">
        <v>77</v>
      </c>
      <c r="CP39" s="76" t="s">
        <v>77</v>
      </c>
      <c r="CQ39" s="76" t="s">
        <v>77</v>
      </c>
      <c r="CR39" s="76" t="s">
        <v>77</v>
      </c>
      <c r="CS39" s="76" t="s">
        <v>77</v>
      </c>
      <c r="CT39" s="76" t="s">
        <v>77</v>
      </c>
      <c r="CU39" s="76" t="s">
        <v>77</v>
      </c>
      <c r="CV39" s="76" t="s">
        <v>77</v>
      </c>
      <c r="CW39" s="76" t="s">
        <v>77</v>
      </c>
      <c r="CX39" s="76" t="s">
        <v>77</v>
      </c>
      <c r="CY39" s="299" t="s">
        <v>122</v>
      </c>
      <c r="CZ39" s="298" t="s">
        <v>57</v>
      </c>
      <c r="DA39" s="298" t="s">
        <v>57</v>
      </c>
      <c r="DB39" s="298" t="s">
        <v>348</v>
      </c>
      <c r="DC39" s="298" t="s">
        <v>57</v>
      </c>
      <c r="DD39" s="279" t="s">
        <v>328</v>
      </c>
      <c r="DE39" s="279"/>
      <c r="DF39" s="298" t="s">
        <v>56</v>
      </c>
      <c r="DG39" s="298" t="s">
        <v>56</v>
      </c>
      <c r="DH39" s="298" t="s">
        <v>56</v>
      </c>
      <c r="DI39" s="298" t="s">
        <v>56</v>
      </c>
      <c r="DJ39" s="279" t="s">
        <v>364</v>
      </c>
      <c r="DK39" s="280" t="s">
        <v>366</v>
      </c>
      <c r="DL39" s="279" t="s">
        <v>365</v>
      </c>
      <c r="DM39" s="279"/>
      <c r="DN39" s="279"/>
      <c r="DO39" s="202" t="s">
        <v>602</v>
      </c>
      <c r="DP39" s="279"/>
      <c r="DQ39" s="111"/>
      <c r="DR39" s="28"/>
      <c r="DS39" s="28"/>
      <c r="DT39" s="28"/>
      <c r="DU39" s="28"/>
      <c r="DV39" s="28"/>
      <c r="DW39" s="28"/>
      <c r="DX39" s="28"/>
      <c r="DY39" s="28"/>
    </row>
    <row r="40" spans="1:129" ht="409.5" customHeight="1" x14ac:dyDescent="0.2">
      <c r="A40" s="522"/>
      <c r="B40" s="15" t="s">
        <v>2</v>
      </c>
      <c r="C40" s="84"/>
      <c r="D40" s="241">
        <v>504</v>
      </c>
      <c r="E40" s="370" t="s">
        <v>427</v>
      </c>
      <c r="F40" s="280" t="s">
        <v>133</v>
      </c>
      <c r="G40" s="280" t="s">
        <v>136</v>
      </c>
      <c r="H40" s="286" t="s">
        <v>521</v>
      </c>
      <c r="I40" s="285" t="s">
        <v>500</v>
      </c>
      <c r="J40" s="279" t="s">
        <v>137</v>
      </c>
      <c r="K40" s="265" t="s">
        <v>680</v>
      </c>
      <c r="L40" s="280" t="s">
        <v>9</v>
      </c>
      <c r="M40" s="320">
        <f>N40*25000</f>
        <v>25000</v>
      </c>
      <c r="N40" s="315">
        <v>1</v>
      </c>
      <c r="O40" s="11" t="s">
        <v>77</v>
      </c>
      <c r="P40" s="316" t="s">
        <v>77</v>
      </c>
      <c r="Q40" s="273">
        <v>1</v>
      </c>
      <c r="R40" s="273">
        <v>1</v>
      </c>
      <c r="S40" s="4">
        <v>70</v>
      </c>
      <c r="T40" s="4">
        <v>95</v>
      </c>
      <c r="U40" s="4">
        <v>40</v>
      </c>
      <c r="V40" s="4">
        <v>95</v>
      </c>
      <c r="W40" s="194">
        <f t="shared" si="42"/>
        <v>0.98984126984126986</v>
      </c>
      <c r="X40" s="51" t="s">
        <v>388</v>
      </c>
      <c r="Y40" s="150">
        <f>((($Q40)*($S40/100))*(8.34*($M40/1000000)))*365</f>
        <v>53.271749999999997</v>
      </c>
      <c r="Z40" s="150">
        <f>((($Q40)*($T40/100))*(8.34*($M40/1000000)))*365</f>
        <v>72.297375000000002</v>
      </c>
      <c r="AA40" s="150">
        <f t="shared" si="43"/>
        <v>24.164065799999999</v>
      </c>
      <c r="AB40" s="150">
        <f t="shared" si="143"/>
        <v>32.794089300000003</v>
      </c>
      <c r="AC40" s="150">
        <f t="shared" si="144"/>
        <v>28.47907755</v>
      </c>
      <c r="AD40" s="150">
        <f>((($R40)*($U40/100))*(8.34*($M40/1000000)))*365</f>
        <v>30.441000000000006</v>
      </c>
      <c r="AE40" s="150">
        <f>((($R40)*($V40/100))*(8.34*($M40/1000000)))*365</f>
        <v>72.297375000000002</v>
      </c>
      <c r="AF40" s="150">
        <f t="shared" si="145"/>
        <v>13.808037600000002</v>
      </c>
      <c r="AG40" s="150">
        <f t="shared" si="146"/>
        <v>32.794089300000003</v>
      </c>
      <c r="AH40" s="76">
        <v>75000</v>
      </c>
      <c r="AI40" s="76">
        <v>125000</v>
      </c>
      <c r="AJ40" s="76">
        <f t="shared" si="55"/>
        <v>100000</v>
      </c>
      <c r="AK40" s="76">
        <f t="shared" si="126"/>
        <v>75000</v>
      </c>
      <c r="AL40" s="76">
        <f t="shared" si="127"/>
        <v>125000</v>
      </c>
      <c r="AM40" s="76">
        <f t="shared" si="147"/>
        <v>100000</v>
      </c>
      <c r="AN40" s="108">
        <v>0.5</v>
      </c>
      <c r="AO40" s="76">
        <f>$AA$111</f>
        <v>250000</v>
      </c>
      <c r="AP40" s="76">
        <f>(AK40*(1+$AN$2))+AO40</f>
        <v>355000</v>
      </c>
      <c r="AQ40" s="76">
        <f>(AL40*(1+$AN$2))+AO40</f>
        <v>425000</v>
      </c>
      <c r="AR40" s="76">
        <f t="shared" si="60"/>
        <v>390000</v>
      </c>
      <c r="AS40" s="76">
        <v>3000</v>
      </c>
      <c r="AT40" s="76">
        <v>8000</v>
      </c>
      <c r="AU40" s="76">
        <f t="shared" si="67"/>
        <v>5500</v>
      </c>
      <c r="AV40" s="76">
        <f t="shared" si="128"/>
        <v>3000</v>
      </c>
      <c r="AW40" s="76">
        <f t="shared" si="129"/>
        <v>8000</v>
      </c>
      <c r="AX40" s="76">
        <f t="shared" si="148"/>
        <v>5500</v>
      </c>
      <c r="AY40" s="337">
        <v>0.75</v>
      </c>
      <c r="AZ40" s="51">
        <v>0.2</v>
      </c>
      <c r="BA40" s="51">
        <v>0</v>
      </c>
      <c r="BB40" s="338" t="s">
        <v>315</v>
      </c>
      <c r="BC40" s="76">
        <f t="shared" ref="BC40:BD42" si="155">AP40*(1+$AZ40)</f>
        <v>426000</v>
      </c>
      <c r="BD40" s="76">
        <f t="shared" si="155"/>
        <v>510000</v>
      </c>
      <c r="BE40" s="76">
        <f t="shared" si="48"/>
        <v>468000</v>
      </c>
      <c r="BF40" s="76">
        <f t="shared" ref="BF40:BG42" si="156">AV40*(1+$BA40)</f>
        <v>3000</v>
      </c>
      <c r="BG40" s="76">
        <f t="shared" si="156"/>
        <v>8000</v>
      </c>
      <c r="BH40" s="76">
        <f t="shared" si="6"/>
        <v>5500</v>
      </c>
      <c r="BI40" s="4">
        <v>20</v>
      </c>
      <c r="BJ40" s="76">
        <f>BE40*0.25</f>
        <v>117000</v>
      </c>
      <c r="BK40" s="76">
        <f t="shared" si="7"/>
        <v>117000</v>
      </c>
      <c r="BL40" s="116">
        <f t="shared" si="153"/>
        <v>44096.06949614107</v>
      </c>
      <c r="BM40" s="4">
        <f>IF((($Y40+$Z40)&gt;0),((($Y40+$Z40)/2)*$CB$2),0)</f>
        <v>1255.6912500000001</v>
      </c>
      <c r="BN40" s="4">
        <f t="shared" si="65"/>
        <v>569.58155099999999</v>
      </c>
      <c r="BO40" s="4">
        <f t="shared" ref="BO40:BO70" si="157">IF((($AD40+$AE40)&gt;0),((($AD40+$AE40)/2)*$CB$2),0)</f>
        <v>1027.38375</v>
      </c>
      <c r="BP40" s="4">
        <f t="shared" si="66"/>
        <v>466.02126899999996</v>
      </c>
      <c r="BQ40" s="335">
        <f>IF($Q40&lt;$W$112,BM40,(BM40-((BM40/$Q40)*($Q40-$W$112))))</f>
        <v>1255.6912500000001</v>
      </c>
      <c r="BR40" s="335">
        <f>IF($Q40&lt;$W$112,BN40,(BN40-((BN40/$Q40)*($Q40-$W$112))))</f>
        <v>569.58155099999999</v>
      </c>
      <c r="BS40" s="335">
        <f t="shared" ref="BS40:BS64" si="158">IF($R40&lt;$X$112,BO40,(BO40-((BO40/$R40)*($R40-$X$112))))</f>
        <v>1027.38375</v>
      </c>
      <c r="BT40" s="335">
        <f t="shared" ref="BT40:BT64" si="159">IF($R40&lt;$X$112,BP40,(BP40-((BP40/$R40)*($R40-$X$112))))</f>
        <v>466.02126899999996</v>
      </c>
      <c r="BU40" s="76" t="str">
        <f t="shared" si="154"/>
        <v>N/A</v>
      </c>
      <c r="BV40" s="76" t="s">
        <v>77</v>
      </c>
      <c r="BW40" s="88">
        <f t="shared" si="17"/>
        <v>407.82005090514173</v>
      </c>
      <c r="BX40" s="89">
        <f t="shared" si="18"/>
        <v>54.585199095693241</v>
      </c>
      <c r="BY40" s="89">
        <f t="shared" si="19"/>
        <v>462.40525000083494</v>
      </c>
      <c r="BZ40" s="89">
        <f t="shared" si="20"/>
        <v>899.0741862988134</v>
      </c>
      <c r="CA40" s="89">
        <f t="shared" si="21"/>
        <v>120.33774051078757</v>
      </c>
      <c r="CB40" s="89">
        <f t="shared" si="22"/>
        <v>1019.411926809601</v>
      </c>
      <c r="CC40" s="89">
        <f t="shared" si="23"/>
        <v>498.44672888406211</v>
      </c>
      <c r="CD40" s="89">
        <f t="shared" si="24"/>
        <v>66.715243339180631</v>
      </c>
      <c r="CE40" s="89">
        <f t="shared" si="25"/>
        <v>565.16197222324274</v>
      </c>
      <c r="CF40" s="89">
        <f t="shared" si="26"/>
        <v>1098.868449920772</v>
      </c>
      <c r="CG40" s="89">
        <f t="shared" si="27"/>
        <v>147.07946062429593</v>
      </c>
      <c r="CH40" s="89">
        <f t="shared" si="28"/>
        <v>1245.947910545068</v>
      </c>
      <c r="CI40" s="41">
        <f t="shared" si="82"/>
        <v>6409.4530545212729</v>
      </c>
      <c r="CJ40" s="41">
        <f t="shared" si="83"/>
        <v>11445.047004093538</v>
      </c>
      <c r="CK40" s="41">
        <f t="shared" si="84"/>
        <v>6409.4530545212729</v>
      </c>
      <c r="CL40" s="41">
        <f t="shared" si="85"/>
        <v>20028.832257163685</v>
      </c>
      <c r="CM40" s="359">
        <f t="shared" si="29"/>
        <v>407.82005090514173</v>
      </c>
      <c r="CN40" s="210">
        <f t="shared" si="30"/>
        <v>54.585199095693241</v>
      </c>
      <c r="CO40" s="210">
        <f t="shared" si="51"/>
        <v>462.40525000083494</v>
      </c>
      <c r="CP40" s="210">
        <f t="shared" si="32"/>
        <v>899.0741862988134</v>
      </c>
      <c r="CQ40" s="210">
        <f t="shared" si="33"/>
        <v>120.33774051078757</v>
      </c>
      <c r="CR40" s="210">
        <f t="shared" si="52"/>
        <v>1019.411926809601</v>
      </c>
      <c r="CS40" s="210">
        <f t="shared" si="35"/>
        <v>498.44672888406211</v>
      </c>
      <c r="CT40" s="210">
        <f t="shared" si="36"/>
        <v>66.715243339180631</v>
      </c>
      <c r="CU40" s="210">
        <f t="shared" si="53"/>
        <v>565.16197222324274</v>
      </c>
      <c r="CV40" s="210">
        <f t="shared" si="38"/>
        <v>1098.868449920772</v>
      </c>
      <c r="CW40" s="210">
        <f t="shared" si="39"/>
        <v>147.07946062429593</v>
      </c>
      <c r="CX40" s="210">
        <f t="shared" si="54"/>
        <v>1245.947910545068</v>
      </c>
      <c r="CY40" s="299" t="s">
        <v>122</v>
      </c>
      <c r="CZ40" s="298" t="s">
        <v>57</v>
      </c>
      <c r="DA40" s="298" t="s">
        <v>57</v>
      </c>
      <c r="DB40" s="298" t="s">
        <v>349</v>
      </c>
      <c r="DC40" s="298" t="s">
        <v>57</v>
      </c>
      <c r="DD40" s="279" t="s">
        <v>329</v>
      </c>
      <c r="DE40" s="279" t="s">
        <v>266</v>
      </c>
      <c r="DF40" s="298" t="s">
        <v>56</v>
      </c>
      <c r="DG40" s="298" t="s">
        <v>56</v>
      </c>
      <c r="DH40" s="298" t="s">
        <v>56</v>
      </c>
      <c r="DI40" s="298" t="s">
        <v>56</v>
      </c>
      <c r="DJ40" s="279" t="s">
        <v>378</v>
      </c>
      <c r="DK40" s="280" t="s">
        <v>373</v>
      </c>
      <c r="DL40" s="280" t="s">
        <v>365</v>
      </c>
      <c r="DM40" s="279" t="s">
        <v>378</v>
      </c>
      <c r="DN40" s="280" t="s">
        <v>552</v>
      </c>
      <c r="DO40" s="279" t="s">
        <v>138</v>
      </c>
      <c r="DP40" s="279" t="s">
        <v>139</v>
      </c>
      <c r="DQ40" s="111"/>
      <c r="DR40" s="28"/>
      <c r="DS40" s="28"/>
      <c r="DT40" s="28"/>
      <c r="DU40" s="28"/>
      <c r="DV40" s="28"/>
      <c r="DW40" s="28"/>
      <c r="DX40" s="28"/>
      <c r="DY40" s="28"/>
    </row>
    <row r="41" spans="1:129" ht="409.5" customHeight="1" x14ac:dyDescent="0.2">
      <c r="A41" s="522"/>
      <c r="B41" s="15" t="s">
        <v>294</v>
      </c>
      <c r="C41" s="84"/>
      <c r="D41" s="241">
        <v>505</v>
      </c>
      <c r="E41" s="370" t="s">
        <v>748</v>
      </c>
      <c r="F41" s="280" t="s">
        <v>331</v>
      </c>
      <c r="G41" s="280" t="s">
        <v>136</v>
      </c>
      <c r="H41" s="286" t="s">
        <v>332</v>
      </c>
      <c r="I41" s="285" t="s">
        <v>474</v>
      </c>
      <c r="J41" s="279" t="s">
        <v>339</v>
      </c>
      <c r="K41" s="265" t="s">
        <v>706</v>
      </c>
      <c r="L41" s="280" t="s">
        <v>358</v>
      </c>
      <c r="M41" s="320">
        <v>0</v>
      </c>
      <c r="N41" s="315" t="s">
        <v>77</v>
      </c>
      <c r="O41" s="11" t="s">
        <v>77</v>
      </c>
      <c r="P41" s="316" t="s">
        <v>77</v>
      </c>
      <c r="Q41" s="144" t="s">
        <v>77</v>
      </c>
      <c r="R41" s="320">
        <v>1</v>
      </c>
      <c r="S41" s="315" t="s">
        <v>77</v>
      </c>
      <c r="T41" s="11" t="s">
        <v>77</v>
      </c>
      <c r="U41" s="332">
        <v>75</v>
      </c>
      <c r="V41" s="364">
        <v>90</v>
      </c>
      <c r="W41" s="144" t="s">
        <v>77</v>
      </c>
      <c r="X41" s="51" t="s">
        <v>388</v>
      </c>
      <c r="Y41" s="271" t="s">
        <v>77</v>
      </c>
      <c r="Z41" s="271" t="s">
        <v>77</v>
      </c>
      <c r="AA41" s="271" t="s">
        <v>77</v>
      </c>
      <c r="AB41" s="271" t="s">
        <v>77</v>
      </c>
      <c r="AC41" s="150" t="s">
        <v>77</v>
      </c>
      <c r="AD41" s="4">
        <f>((($R41)*($U41/100))*(8.34*($M41/1000000)))*365</f>
        <v>0</v>
      </c>
      <c r="AE41" s="4">
        <f>((($R41)*($V41/100))*(8.34*($M41/1000000)))*365</f>
        <v>0</v>
      </c>
      <c r="AF41" s="321">
        <f t="shared" si="145"/>
        <v>0</v>
      </c>
      <c r="AG41" s="321">
        <f t="shared" si="146"/>
        <v>0</v>
      </c>
      <c r="AH41" s="333">
        <v>0</v>
      </c>
      <c r="AI41" s="333">
        <v>0</v>
      </c>
      <c r="AJ41" s="76">
        <f t="shared" si="55"/>
        <v>0</v>
      </c>
      <c r="AK41" s="116">
        <f t="shared" si="126"/>
        <v>0</v>
      </c>
      <c r="AL41" s="116">
        <f t="shared" si="127"/>
        <v>0</v>
      </c>
      <c r="AM41" s="76">
        <f t="shared" si="147"/>
        <v>0</v>
      </c>
      <c r="AN41" s="108">
        <v>0</v>
      </c>
      <c r="AO41" s="108"/>
      <c r="AP41" s="116">
        <f>AK41*(1+$AN$2)</f>
        <v>0</v>
      </c>
      <c r="AQ41" s="116">
        <f>AL41*(1+$AN$2)</f>
        <v>0</v>
      </c>
      <c r="AR41" s="76">
        <f t="shared" si="60"/>
        <v>0</v>
      </c>
      <c r="AS41" s="333">
        <v>0</v>
      </c>
      <c r="AT41" s="333">
        <v>0</v>
      </c>
      <c r="AU41" s="76">
        <v>0</v>
      </c>
      <c r="AV41" s="76">
        <f t="shared" si="128"/>
        <v>0</v>
      </c>
      <c r="AW41" s="76">
        <f t="shared" si="129"/>
        <v>0</v>
      </c>
      <c r="AX41" s="76">
        <f t="shared" si="148"/>
        <v>0</v>
      </c>
      <c r="AY41" s="337">
        <v>0</v>
      </c>
      <c r="AZ41" s="51">
        <v>0</v>
      </c>
      <c r="BA41" s="51">
        <v>0</v>
      </c>
      <c r="BB41" s="338"/>
      <c r="BC41" s="76">
        <f t="shared" si="155"/>
        <v>0</v>
      </c>
      <c r="BD41" s="76">
        <f t="shared" si="155"/>
        <v>0</v>
      </c>
      <c r="BE41" s="76">
        <f t="shared" si="48"/>
        <v>0</v>
      </c>
      <c r="BF41" s="76">
        <f t="shared" si="156"/>
        <v>0</v>
      </c>
      <c r="BG41" s="76">
        <f t="shared" si="156"/>
        <v>0</v>
      </c>
      <c r="BH41" s="76">
        <f t="shared" si="6"/>
        <v>0</v>
      </c>
      <c r="BI41" s="4">
        <v>5</v>
      </c>
      <c r="BJ41" s="76">
        <v>0</v>
      </c>
      <c r="BK41" s="76">
        <f t="shared" ref="BK41:BK73" si="160">IF(($CB$2/BI41)&gt;0,((($CB$2/BI41))*BJ41),0)</f>
        <v>0</v>
      </c>
      <c r="BL41" s="116">
        <f t="shared" si="153"/>
        <v>0</v>
      </c>
      <c r="BM41" s="4" t="s">
        <v>77</v>
      </c>
      <c r="BN41" s="4" t="s">
        <v>77</v>
      </c>
      <c r="BO41" s="4">
        <f t="shared" si="157"/>
        <v>0</v>
      </c>
      <c r="BP41" s="4">
        <f t="shared" si="66"/>
        <v>0</v>
      </c>
      <c r="BQ41" s="335" t="s">
        <v>77</v>
      </c>
      <c r="BR41" s="335" t="s">
        <v>77</v>
      </c>
      <c r="BS41" s="335">
        <f t="shared" si="158"/>
        <v>0</v>
      </c>
      <c r="BT41" s="335">
        <f t="shared" si="159"/>
        <v>0</v>
      </c>
      <c r="BU41" s="335" t="s">
        <v>77</v>
      </c>
      <c r="BV41" s="76" t="s">
        <v>77</v>
      </c>
      <c r="BW41" s="335" t="s">
        <v>77</v>
      </c>
      <c r="BX41" s="335" t="s">
        <v>77</v>
      </c>
      <c r="BY41" s="335" t="s">
        <v>77</v>
      </c>
      <c r="BZ41" s="335" t="s">
        <v>77</v>
      </c>
      <c r="CA41" s="335" t="s">
        <v>77</v>
      </c>
      <c r="CB41" s="335" t="s">
        <v>77</v>
      </c>
      <c r="CC41" s="89">
        <f t="shared" si="23"/>
        <v>0</v>
      </c>
      <c r="CD41" s="89">
        <f t="shared" si="24"/>
        <v>0</v>
      </c>
      <c r="CE41" s="89">
        <f t="shared" si="25"/>
        <v>0</v>
      </c>
      <c r="CF41" s="89">
        <f t="shared" si="26"/>
        <v>0</v>
      </c>
      <c r="CG41" s="89">
        <f t="shared" si="27"/>
        <v>0</v>
      </c>
      <c r="CH41" s="89">
        <f t="shared" si="28"/>
        <v>0</v>
      </c>
      <c r="CI41" s="41" t="e">
        <f t="shared" si="82"/>
        <v>#VALUE!</v>
      </c>
      <c r="CJ41" s="41" t="e">
        <f t="shared" si="83"/>
        <v>#VALUE!</v>
      </c>
      <c r="CK41" s="41">
        <f t="shared" si="84"/>
        <v>0</v>
      </c>
      <c r="CL41" s="41">
        <f t="shared" si="85"/>
        <v>0</v>
      </c>
      <c r="CM41" s="335" t="s">
        <v>77</v>
      </c>
      <c r="CN41" s="335" t="s">
        <v>77</v>
      </c>
      <c r="CO41" s="335" t="s">
        <v>77</v>
      </c>
      <c r="CP41" s="335" t="s">
        <v>77</v>
      </c>
      <c r="CQ41" s="335" t="s">
        <v>77</v>
      </c>
      <c r="CR41" s="335" t="s">
        <v>77</v>
      </c>
      <c r="CS41" s="210">
        <f t="shared" si="35"/>
        <v>0</v>
      </c>
      <c r="CT41" s="210">
        <f t="shared" si="36"/>
        <v>0</v>
      </c>
      <c r="CU41" s="210">
        <f t="shared" si="53"/>
        <v>0</v>
      </c>
      <c r="CV41" s="210">
        <f t="shared" si="38"/>
        <v>0</v>
      </c>
      <c r="CW41" s="210">
        <f t="shared" si="39"/>
        <v>0</v>
      </c>
      <c r="CX41" s="210">
        <f t="shared" si="54"/>
        <v>0</v>
      </c>
      <c r="CY41" s="299" t="s">
        <v>122</v>
      </c>
      <c r="CZ41" s="298" t="s">
        <v>57</v>
      </c>
      <c r="DA41" s="298" t="s">
        <v>57</v>
      </c>
      <c r="DB41" s="298" t="s">
        <v>350</v>
      </c>
      <c r="DC41" s="298" t="s">
        <v>57</v>
      </c>
      <c r="DD41" s="279" t="s">
        <v>343</v>
      </c>
      <c r="DE41" s="279" t="s">
        <v>333</v>
      </c>
      <c r="DF41" s="298" t="s">
        <v>56</v>
      </c>
      <c r="DG41" s="298" t="s">
        <v>57</v>
      </c>
      <c r="DH41" s="298" t="s">
        <v>57</v>
      </c>
      <c r="DI41" s="298" t="s">
        <v>57</v>
      </c>
      <c r="DJ41" s="279" t="s">
        <v>364</v>
      </c>
      <c r="DK41" s="280" t="s">
        <v>366</v>
      </c>
      <c r="DL41" s="279" t="s">
        <v>365</v>
      </c>
      <c r="DM41" s="279"/>
      <c r="DN41" s="279"/>
      <c r="DO41" s="279" t="s">
        <v>490</v>
      </c>
      <c r="DP41" s="279"/>
      <c r="DQ41" s="111"/>
      <c r="DR41" s="28"/>
      <c r="DS41" s="28"/>
      <c r="DT41" s="28"/>
      <c r="DU41" s="28"/>
      <c r="DV41" s="28"/>
      <c r="DW41" s="28"/>
      <c r="DX41" s="28"/>
      <c r="DY41" s="28"/>
    </row>
    <row r="42" spans="1:129" ht="409.5" customHeight="1" x14ac:dyDescent="0.2">
      <c r="A42" s="522"/>
      <c r="B42" s="15" t="s">
        <v>3</v>
      </c>
      <c r="C42" s="84"/>
      <c r="D42" s="241">
        <v>506</v>
      </c>
      <c r="E42" s="370" t="s">
        <v>749</v>
      </c>
      <c r="F42" s="280" t="s">
        <v>140</v>
      </c>
      <c r="G42" s="280" t="s">
        <v>141</v>
      </c>
      <c r="H42" s="286" t="s">
        <v>134</v>
      </c>
      <c r="I42" s="285" t="s">
        <v>500</v>
      </c>
      <c r="J42" s="279" t="s">
        <v>142</v>
      </c>
      <c r="K42" s="265" t="s">
        <v>760</v>
      </c>
      <c r="L42" s="280" t="s">
        <v>26</v>
      </c>
      <c r="M42" s="320">
        <v>500</v>
      </c>
      <c r="N42" s="315" t="s">
        <v>77</v>
      </c>
      <c r="O42" s="334">
        <v>1</v>
      </c>
      <c r="P42" s="316" t="s">
        <v>77</v>
      </c>
      <c r="Q42" s="320">
        <v>5</v>
      </c>
      <c r="R42" s="320">
        <v>5</v>
      </c>
      <c r="S42" s="316">
        <v>80</v>
      </c>
      <c r="T42" s="316">
        <v>95</v>
      </c>
      <c r="U42" s="316">
        <v>80</v>
      </c>
      <c r="V42" s="316">
        <v>95</v>
      </c>
      <c r="W42" s="316" t="s">
        <v>77</v>
      </c>
      <c r="X42" s="51" t="s">
        <v>388</v>
      </c>
      <c r="Y42" s="150">
        <f t="shared" ref="Y42:Y70" si="161">((($Q42)*($S42/100))*(8.34*($M42/1000000)))*365</f>
        <v>6.0882000000000005</v>
      </c>
      <c r="Z42" s="150">
        <f t="shared" ref="Z42:Z70" si="162">((($Q42)*($T42/100))*(8.34*($M42/1000000)))*365</f>
        <v>7.2297374999999997</v>
      </c>
      <c r="AA42" s="150">
        <f t="shared" ref="AA42:AA70" si="163">Y42*0.4536</f>
        <v>2.7616075200000001</v>
      </c>
      <c r="AB42" s="150">
        <f t="shared" ref="AB42" si="164">Z42*0.4536</f>
        <v>3.2794089299999998</v>
      </c>
      <c r="AC42" s="150">
        <f t="shared" ref="AC42" si="165">(AA42+AB42)/2</f>
        <v>3.0205082249999999</v>
      </c>
      <c r="AD42" s="150">
        <f t="shared" ref="AD42:AD70" si="166">((($R42)*($U42/100))*(8.34*($M42/1000000)))*365</f>
        <v>6.0882000000000005</v>
      </c>
      <c r="AE42" s="150">
        <f t="shared" ref="AE42:AE70" si="167">((($R42)*($V42/100))*(8.34*($M42/1000000)))*365</f>
        <v>7.2297374999999997</v>
      </c>
      <c r="AF42" s="316">
        <f t="shared" si="89"/>
        <v>2.7616075200000001</v>
      </c>
      <c r="AG42" s="316">
        <f t="shared" si="90"/>
        <v>3.2794089299999998</v>
      </c>
      <c r="AH42" s="76">
        <v>125</v>
      </c>
      <c r="AI42" s="76">
        <v>150</v>
      </c>
      <c r="AJ42" s="76">
        <f t="shared" si="55"/>
        <v>137.5</v>
      </c>
      <c r="AK42" s="76">
        <f t="shared" si="126"/>
        <v>125</v>
      </c>
      <c r="AL42" s="76">
        <f t="shared" si="127"/>
        <v>150</v>
      </c>
      <c r="AM42" s="76">
        <f t="shared" si="147"/>
        <v>137.5</v>
      </c>
      <c r="AN42" s="108">
        <v>0.6</v>
      </c>
      <c r="AO42" s="76">
        <v>0</v>
      </c>
      <c r="AP42" s="76">
        <f>(AK42*(1+$AN$2))+AO42</f>
        <v>175</v>
      </c>
      <c r="AQ42" s="76">
        <f>(AL42*(1+$AN$2))+AO42</f>
        <v>210</v>
      </c>
      <c r="AR42" s="76">
        <f t="shared" si="60"/>
        <v>192.5</v>
      </c>
      <c r="AS42" s="76">
        <v>5</v>
      </c>
      <c r="AT42" s="76">
        <v>10</v>
      </c>
      <c r="AU42" s="76">
        <f t="shared" si="67"/>
        <v>7.5</v>
      </c>
      <c r="AV42" s="76">
        <f t="shared" si="128"/>
        <v>5</v>
      </c>
      <c r="AW42" s="76">
        <f t="shared" si="129"/>
        <v>10</v>
      </c>
      <c r="AX42" s="76">
        <f t="shared" si="148"/>
        <v>7.5</v>
      </c>
      <c r="AY42" s="337">
        <v>0.75</v>
      </c>
      <c r="AZ42" s="51">
        <v>0.2</v>
      </c>
      <c r="BA42" s="51">
        <v>0.1</v>
      </c>
      <c r="BB42" s="338" t="s">
        <v>308</v>
      </c>
      <c r="BC42" s="76">
        <f t="shared" si="155"/>
        <v>210</v>
      </c>
      <c r="BD42" s="76">
        <f t="shared" si="155"/>
        <v>252</v>
      </c>
      <c r="BE42" s="76">
        <f t="shared" si="48"/>
        <v>231</v>
      </c>
      <c r="BF42" s="76">
        <f t="shared" si="156"/>
        <v>5.5</v>
      </c>
      <c r="BG42" s="76">
        <f t="shared" si="156"/>
        <v>11</v>
      </c>
      <c r="BH42" s="76">
        <f t="shared" si="6"/>
        <v>8.25</v>
      </c>
      <c r="BI42" s="4">
        <v>25</v>
      </c>
      <c r="BJ42" s="76">
        <f>BE42</f>
        <v>231</v>
      </c>
      <c r="BK42" s="76">
        <f t="shared" si="160"/>
        <v>184.8</v>
      </c>
      <c r="BL42" s="116">
        <f t="shared" si="153"/>
        <v>68.214940262183049</v>
      </c>
      <c r="BM42" s="4">
        <f t="shared" ref="BM42:BM70" si="168">IF((($Y42+$Z42)&gt;0),((($Y42+$Z42)/2)*$CB$2),0)</f>
        <v>133.17937499999999</v>
      </c>
      <c r="BN42" s="4">
        <f t="shared" si="65"/>
        <v>60.4101645</v>
      </c>
      <c r="BO42" s="4">
        <f t="shared" si="157"/>
        <v>133.17937499999999</v>
      </c>
      <c r="BP42" s="4">
        <f t="shared" si="66"/>
        <v>60.4101645</v>
      </c>
      <c r="BQ42" s="335">
        <f t="shared" ref="BQ42:BQ64" si="169">IF($Q42&lt;$W$112,BM42,(BM42-((BM42/$Q42)*($Q42-$W$112))))</f>
        <v>133.17937499999999</v>
      </c>
      <c r="BR42" s="335">
        <f t="shared" ref="BR42:BR64" si="170">IF($Q42&lt;$W$112,BN42,(BN42-((BN42/$Q42)*($Q42-$W$112))))</f>
        <v>60.4101645</v>
      </c>
      <c r="BS42" s="335">
        <f t="shared" si="158"/>
        <v>133.17937499999999</v>
      </c>
      <c r="BT42" s="335">
        <f t="shared" si="159"/>
        <v>60.4101645</v>
      </c>
      <c r="BU42" s="76" t="str">
        <f t="shared" si="154"/>
        <v>N/A</v>
      </c>
      <c r="BV42" s="116" t="s">
        <v>77</v>
      </c>
      <c r="BW42" s="88">
        <f t="shared" si="17"/>
        <v>2.2467062956421224</v>
      </c>
      <c r="BX42" s="89">
        <f t="shared" si="18"/>
        <v>0.7719906729248045</v>
      </c>
      <c r="BY42" s="89">
        <f t="shared" si="19"/>
        <v>3.0186969685669269</v>
      </c>
      <c r="BZ42" s="89">
        <f t="shared" si="20"/>
        <v>4.9530562073239022</v>
      </c>
      <c r="CA42" s="89">
        <f t="shared" si="21"/>
        <v>1.7019194729382814</v>
      </c>
      <c r="CB42" s="89">
        <f t="shared" si="22"/>
        <v>6.6549756802621838</v>
      </c>
      <c r="CC42" s="89">
        <f t="shared" si="23"/>
        <v>2.2467062956421224</v>
      </c>
      <c r="CD42" s="89">
        <f t="shared" si="24"/>
        <v>0.7719906729248045</v>
      </c>
      <c r="CE42" s="89">
        <f t="shared" si="25"/>
        <v>3.0186969685669269</v>
      </c>
      <c r="CF42" s="89">
        <f t="shared" si="26"/>
        <v>4.9530562073239022</v>
      </c>
      <c r="CG42" s="89">
        <f t="shared" si="27"/>
        <v>1.7019194729382814</v>
      </c>
      <c r="CH42" s="89">
        <f t="shared" si="28"/>
        <v>6.6549756802621838</v>
      </c>
      <c r="CI42" s="41">
        <f t="shared" si="82"/>
        <v>38.527284964906393</v>
      </c>
      <c r="CJ42" s="41">
        <f t="shared" si="83"/>
        <v>63.907938925780996</v>
      </c>
      <c r="CK42" s="41">
        <f t="shared" si="84"/>
        <v>38.527284964906393</v>
      </c>
      <c r="CL42" s="41">
        <f t="shared" si="85"/>
        <v>63.907938925780996</v>
      </c>
      <c r="CM42" s="359">
        <f t="shared" si="29"/>
        <v>2.2467062956421224</v>
      </c>
      <c r="CN42" s="210">
        <f t="shared" si="30"/>
        <v>0.7719906729248045</v>
      </c>
      <c r="CO42" s="210">
        <f t="shared" si="51"/>
        <v>3.0186969685669269</v>
      </c>
      <c r="CP42" s="210">
        <f t="shared" si="32"/>
        <v>4.9530562073239022</v>
      </c>
      <c r="CQ42" s="210">
        <f t="shared" si="33"/>
        <v>1.7019194729382814</v>
      </c>
      <c r="CR42" s="210">
        <f t="shared" si="52"/>
        <v>6.6549756802621838</v>
      </c>
      <c r="CS42" s="210">
        <f t="shared" si="35"/>
        <v>2.2467062956421224</v>
      </c>
      <c r="CT42" s="210">
        <f t="shared" si="36"/>
        <v>0.7719906729248045</v>
      </c>
      <c r="CU42" s="210">
        <f t="shared" si="53"/>
        <v>3.0186969685669269</v>
      </c>
      <c r="CV42" s="210">
        <f t="shared" si="38"/>
        <v>4.9530562073239022</v>
      </c>
      <c r="CW42" s="210">
        <f t="shared" si="39"/>
        <v>1.7019194729382814</v>
      </c>
      <c r="CX42" s="210">
        <f t="shared" si="54"/>
        <v>6.6549756802621838</v>
      </c>
      <c r="CY42" s="299" t="s">
        <v>122</v>
      </c>
      <c r="CZ42" s="298" t="s">
        <v>57</v>
      </c>
      <c r="DA42" s="298" t="s">
        <v>57</v>
      </c>
      <c r="DB42" s="298" t="s">
        <v>350</v>
      </c>
      <c r="DC42" s="298" t="s">
        <v>57</v>
      </c>
      <c r="DD42" s="279" t="s">
        <v>143</v>
      </c>
      <c r="DE42" s="279" t="s">
        <v>267</v>
      </c>
      <c r="DF42" s="298" t="s">
        <v>56</v>
      </c>
      <c r="DG42" s="298" t="s">
        <v>56</v>
      </c>
      <c r="DH42" s="298" t="s">
        <v>57</v>
      </c>
      <c r="DI42" s="298" t="s">
        <v>56</v>
      </c>
      <c r="DJ42" s="279" t="s">
        <v>382</v>
      </c>
      <c r="DK42" s="280" t="s">
        <v>366</v>
      </c>
      <c r="DL42" s="279" t="s">
        <v>365</v>
      </c>
      <c r="DM42" s="279" t="s">
        <v>382</v>
      </c>
      <c r="DN42" s="280" t="s">
        <v>552</v>
      </c>
      <c r="DO42" s="279"/>
      <c r="DP42" s="279" t="s">
        <v>491</v>
      </c>
      <c r="DQ42" s="111"/>
      <c r="DR42" s="28"/>
      <c r="DS42" s="28"/>
      <c r="DT42" s="28"/>
      <c r="DU42" s="28"/>
      <c r="DV42" s="28"/>
      <c r="DW42" s="28"/>
      <c r="DX42" s="28"/>
      <c r="DY42" s="28"/>
    </row>
    <row r="43" spans="1:129" ht="126.75" customHeight="1" x14ac:dyDescent="0.2">
      <c r="A43" s="530" t="s">
        <v>452</v>
      </c>
      <c r="B43" s="294" t="s">
        <v>290</v>
      </c>
      <c r="C43" s="84"/>
      <c r="D43" s="241">
        <v>600</v>
      </c>
      <c r="E43" s="279" t="s">
        <v>428</v>
      </c>
      <c r="F43" s="280" t="s">
        <v>105</v>
      </c>
      <c r="G43" s="280" t="s">
        <v>106</v>
      </c>
      <c r="H43" s="286" t="s">
        <v>134</v>
      </c>
      <c r="I43" s="285" t="s">
        <v>505</v>
      </c>
      <c r="J43" s="279" t="s">
        <v>344</v>
      </c>
      <c r="K43" s="265" t="s">
        <v>681</v>
      </c>
      <c r="L43" s="280" t="s">
        <v>11</v>
      </c>
      <c r="M43" s="320">
        <v>160</v>
      </c>
      <c r="N43" s="11" t="s">
        <v>77</v>
      </c>
      <c r="O43" s="11" t="s">
        <v>77</v>
      </c>
      <c r="P43" s="316">
        <f t="shared" ref="P43:P51" si="171">M43/$P$2</f>
        <v>1</v>
      </c>
      <c r="Q43" s="146">
        <f>$W$112</f>
        <v>26.25</v>
      </c>
      <c r="R43" s="144">
        <f>$X$112</f>
        <v>6</v>
      </c>
      <c r="S43" s="339">
        <v>34.375</v>
      </c>
      <c r="T43" s="4">
        <v>34.375</v>
      </c>
      <c r="U43" s="4">
        <v>10</v>
      </c>
      <c r="V43" s="4">
        <v>20</v>
      </c>
      <c r="W43" s="194">
        <f t="shared" si="42"/>
        <v>0</v>
      </c>
      <c r="X43" s="51" t="s">
        <v>390</v>
      </c>
      <c r="Y43" s="150">
        <f t="shared" si="161"/>
        <v>4.3949193750000006</v>
      </c>
      <c r="Z43" s="150">
        <f t="shared" si="162"/>
        <v>4.3949193750000006</v>
      </c>
      <c r="AA43" s="150">
        <f t="shared" si="163"/>
        <v>1.9935354285000002</v>
      </c>
      <c r="AB43" s="150">
        <f t="shared" ref="AB43:AB69" si="172">Z43*0.4536</f>
        <v>1.9935354285000002</v>
      </c>
      <c r="AC43" s="150">
        <f t="shared" ref="AC43:AC69" si="173">(AA43+AB43)/2</f>
        <v>1.9935354285000002</v>
      </c>
      <c r="AD43" s="150">
        <f t="shared" si="166"/>
        <v>0.29223360000000004</v>
      </c>
      <c r="AE43" s="150">
        <f t="shared" si="167"/>
        <v>0.58446720000000008</v>
      </c>
      <c r="AF43" s="150">
        <f t="shared" ref="AF43:AF69" si="174">AD43*0.4536</f>
        <v>0.13255716096000003</v>
      </c>
      <c r="AG43" s="150">
        <f t="shared" ref="AG43:AG69" si="175">AE43*0.4536</f>
        <v>0.26511432192000006</v>
      </c>
      <c r="AH43" s="76">
        <v>8000</v>
      </c>
      <c r="AI43" s="76">
        <v>15000</v>
      </c>
      <c r="AJ43" s="76">
        <f t="shared" si="55"/>
        <v>11500</v>
      </c>
      <c r="AK43" s="76">
        <f t="shared" si="126"/>
        <v>8000</v>
      </c>
      <c r="AL43" s="76">
        <f t="shared" si="127"/>
        <v>15000</v>
      </c>
      <c r="AM43" s="76">
        <f t="shared" si="147"/>
        <v>11500</v>
      </c>
      <c r="AN43" s="108">
        <v>0.45</v>
      </c>
      <c r="AO43" s="76">
        <v>0</v>
      </c>
      <c r="AP43" s="76">
        <f>(AK43*(1+$AN$2))+AO43</f>
        <v>11200</v>
      </c>
      <c r="AQ43" s="76">
        <f>(AL43*(1+$AN$2))+AO43</f>
        <v>21000</v>
      </c>
      <c r="AR43" s="76">
        <f t="shared" si="60"/>
        <v>16100</v>
      </c>
      <c r="AS43" s="76">
        <v>125</v>
      </c>
      <c r="AT43" s="76">
        <v>175</v>
      </c>
      <c r="AU43" s="76">
        <f t="shared" si="67"/>
        <v>150</v>
      </c>
      <c r="AV43" s="76">
        <f t="shared" si="128"/>
        <v>125</v>
      </c>
      <c r="AW43" s="76">
        <f t="shared" si="129"/>
        <v>175</v>
      </c>
      <c r="AX43" s="76">
        <f t="shared" si="148"/>
        <v>150</v>
      </c>
      <c r="AY43" s="51">
        <v>0</v>
      </c>
      <c r="AZ43" s="51">
        <v>-0.2</v>
      </c>
      <c r="BA43" s="51">
        <v>0.1</v>
      </c>
      <c r="BB43" s="338" t="s">
        <v>314</v>
      </c>
      <c r="BC43" s="76">
        <f t="shared" ref="BC43:BC45" si="176">AP43*(1+$AZ43)</f>
        <v>8960</v>
      </c>
      <c r="BD43" s="76">
        <f t="shared" ref="BD43:BD45" si="177">AQ43*(1+$AZ43)</f>
        <v>16800</v>
      </c>
      <c r="BE43" s="76">
        <f t="shared" si="48"/>
        <v>12880</v>
      </c>
      <c r="BF43" s="76">
        <f t="shared" ref="BF43:BF45" si="178">AV43*(1+$BA43)</f>
        <v>137.5</v>
      </c>
      <c r="BG43" s="76">
        <f t="shared" ref="BG43:BG45" si="179">AW43*(1+$BA43)</f>
        <v>192.50000000000003</v>
      </c>
      <c r="BH43" s="76">
        <f t="shared" si="6"/>
        <v>165</v>
      </c>
      <c r="BI43" s="4">
        <v>25</v>
      </c>
      <c r="BJ43" s="76">
        <f>BE43</f>
        <v>12880</v>
      </c>
      <c r="BK43" s="76">
        <f t="shared" si="160"/>
        <v>10304</v>
      </c>
      <c r="BL43" s="116">
        <f t="shared" si="153"/>
        <v>3803.499699467176</v>
      </c>
      <c r="BM43" s="4">
        <f t="shared" si="168"/>
        <v>87.898387500000013</v>
      </c>
      <c r="BN43" s="4">
        <f t="shared" si="65"/>
        <v>39.870708570000005</v>
      </c>
      <c r="BO43" s="4">
        <f t="shared" si="157"/>
        <v>8.7670080000000006</v>
      </c>
      <c r="BP43" s="4">
        <f t="shared" si="66"/>
        <v>3.9767148288000005</v>
      </c>
      <c r="BQ43" s="335">
        <f t="shared" si="169"/>
        <v>87.898387500000013</v>
      </c>
      <c r="BR43" s="335">
        <f t="shared" si="170"/>
        <v>39.870708570000005</v>
      </c>
      <c r="BS43" s="335">
        <f t="shared" si="158"/>
        <v>8.7670080000000006</v>
      </c>
      <c r="BT43" s="335">
        <f t="shared" si="159"/>
        <v>3.9767148288000005</v>
      </c>
      <c r="BU43" s="76" t="str">
        <f t="shared" si="154"/>
        <v>N/A</v>
      </c>
      <c r="BV43" s="116">
        <f t="shared" ref="BV43:BV51" si="180">((BE43/12.46)+BH43)/((AA43+AB43)/2)</f>
        <v>601.29749791830159</v>
      </c>
      <c r="BW43" s="88">
        <f t="shared" si="17"/>
        <v>189.80438861255757</v>
      </c>
      <c r="BX43" s="89">
        <f t="shared" si="18"/>
        <v>23.393656755297101</v>
      </c>
      <c r="BY43" s="89">
        <f t="shared" si="19"/>
        <v>213.19804536785466</v>
      </c>
      <c r="BZ43" s="89">
        <f t="shared" si="20"/>
        <v>418.44001016877769</v>
      </c>
      <c r="CA43" s="89">
        <f t="shared" si="21"/>
        <v>51.573317361766101</v>
      </c>
      <c r="CB43" s="89">
        <f t="shared" si="22"/>
        <v>470.01332753054379</v>
      </c>
      <c r="CC43" s="89">
        <f t="shared" si="23"/>
        <v>1902.9867087456944</v>
      </c>
      <c r="CD43" s="89">
        <f t="shared" si="24"/>
        <v>234.5457773643069</v>
      </c>
      <c r="CE43" s="89">
        <f t="shared" si="25"/>
        <v>2137.5324861100012</v>
      </c>
      <c r="CF43" s="89">
        <f t="shared" si="26"/>
        <v>4195.2969769525889</v>
      </c>
      <c r="CG43" s="89">
        <f t="shared" si="27"/>
        <v>517.07622875729032</v>
      </c>
      <c r="CH43" s="89">
        <f t="shared" si="28"/>
        <v>4712.3732057098796</v>
      </c>
      <c r="CI43" s="41">
        <f t="shared" si="82"/>
        <v>2428.6119974838552</v>
      </c>
      <c r="CJ43" s="41">
        <f t="shared" si="83"/>
        <v>4368.4477126361271</v>
      </c>
      <c r="CK43" s="41">
        <f t="shared" si="84"/>
        <v>18262.023809204773</v>
      </c>
      <c r="CL43" s="41">
        <f t="shared" si="85"/>
        <v>65697.358178316746</v>
      </c>
      <c r="CM43" s="359">
        <f t="shared" si="29"/>
        <v>189.80438861255757</v>
      </c>
      <c r="CN43" s="210">
        <f t="shared" si="30"/>
        <v>23.393656755297101</v>
      </c>
      <c r="CO43" s="210">
        <f t="shared" si="51"/>
        <v>213.19804536785466</v>
      </c>
      <c r="CP43" s="210">
        <f t="shared" si="32"/>
        <v>418.44001016877769</v>
      </c>
      <c r="CQ43" s="210">
        <f t="shared" si="33"/>
        <v>51.573317361766101</v>
      </c>
      <c r="CR43" s="210">
        <f t="shared" si="52"/>
        <v>470.01332753054379</v>
      </c>
      <c r="CS43" s="210">
        <f t="shared" si="35"/>
        <v>1902.9867087456944</v>
      </c>
      <c r="CT43" s="210">
        <f t="shared" si="36"/>
        <v>234.5457773643069</v>
      </c>
      <c r="CU43" s="210">
        <f t="shared" si="53"/>
        <v>2137.5324861100012</v>
      </c>
      <c r="CV43" s="210">
        <f t="shared" si="38"/>
        <v>4195.2969769525889</v>
      </c>
      <c r="CW43" s="210">
        <f t="shared" si="39"/>
        <v>517.07622875729032</v>
      </c>
      <c r="CX43" s="210">
        <f t="shared" si="54"/>
        <v>4712.3732057098796</v>
      </c>
      <c r="CY43" s="299" t="s">
        <v>122</v>
      </c>
      <c r="CZ43" s="298" t="s">
        <v>57</v>
      </c>
      <c r="DA43" s="298" t="s">
        <v>57</v>
      </c>
      <c r="DB43" s="298" t="s">
        <v>345</v>
      </c>
      <c r="DC43" s="298" t="s">
        <v>57</v>
      </c>
      <c r="DD43" s="279" t="s">
        <v>144</v>
      </c>
      <c r="DE43" s="279" t="s">
        <v>268</v>
      </c>
      <c r="DF43" s="298" t="s">
        <v>56</v>
      </c>
      <c r="DG43" s="298" t="s">
        <v>56</v>
      </c>
      <c r="DH43" s="298" t="s">
        <v>57</v>
      </c>
      <c r="DI43" s="298" t="s">
        <v>57</v>
      </c>
      <c r="DJ43" s="280" t="s">
        <v>77</v>
      </c>
      <c r="DK43" s="280" t="s">
        <v>77</v>
      </c>
      <c r="DL43" s="280" t="s">
        <v>77</v>
      </c>
      <c r="DM43" s="279" t="s">
        <v>375</v>
      </c>
      <c r="DN43" s="83" t="s">
        <v>77</v>
      </c>
      <c r="DO43" s="279" t="s">
        <v>720</v>
      </c>
      <c r="DP43" s="279" t="s">
        <v>145</v>
      </c>
      <c r="DQ43" s="109" t="s">
        <v>146</v>
      </c>
      <c r="DR43" s="28"/>
      <c r="DS43" s="28"/>
      <c r="DT43" s="28"/>
      <c r="DU43" s="28"/>
      <c r="DV43" s="28"/>
      <c r="DW43" s="28"/>
      <c r="DX43" s="28"/>
      <c r="DY43" s="28"/>
    </row>
    <row r="44" spans="1:129" ht="150" customHeight="1" x14ac:dyDescent="0.2">
      <c r="A44" s="527"/>
      <c r="B44" s="294" t="s">
        <v>28</v>
      </c>
      <c r="C44" s="84"/>
      <c r="D44" s="241">
        <v>601</v>
      </c>
      <c r="E44" s="279" t="s">
        <v>429</v>
      </c>
      <c r="F44" s="280" t="s">
        <v>105</v>
      </c>
      <c r="G44" s="280" t="s">
        <v>106</v>
      </c>
      <c r="H44" s="286" t="s">
        <v>134</v>
      </c>
      <c r="I44" s="285" t="s">
        <v>505</v>
      </c>
      <c r="J44" s="279" t="s">
        <v>344</v>
      </c>
      <c r="K44" s="265" t="s">
        <v>690</v>
      </c>
      <c r="L44" s="280" t="s">
        <v>11</v>
      </c>
      <c r="M44" s="320">
        <v>160</v>
      </c>
      <c r="N44" s="11" t="s">
        <v>77</v>
      </c>
      <c r="O44" s="11" t="s">
        <v>77</v>
      </c>
      <c r="P44" s="316">
        <f t="shared" si="171"/>
        <v>1</v>
      </c>
      <c r="Q44" s="103">
        <f t="shared" ref="Q44:Q51" si="181">$T$113</f>
        <v>40</v>
      </c>
      <c r="R44" s="103">
        <f t="shared" ref="R44:R51" si="182">$U$113</f>
        <v>8</v>
      </c>
      <c r="S44" s="4">
        <v>40</v>
      </c>
      <c r="T44" s="4">
        <v>60</v>
      </c>
      <c r="U44" s="4">
        <v>10</v>
      </c>
      <c r="V44" s="4">
        <v>20</v>
      </c>
      <c r="W44" s="194">
        <f t="shared" si="42"/>
        <v>-0.16099773242630386</v>
      </c>
      <c r="X44" s="51" t="s">
        <v>387</v>
      </c>
      <c r="Y44" s="150">
        <f t="shared" si="161"/>
        <v>7.7928960000000007</v>
      </c>
      <c r="Z44" s="150">
        <f t="shared" si="162"/>
        <v>11.689344</v>
      </c>
      <c r="AA44" s="150">
        <f t="shared" si="163"/>
        <v>3.5348576256000004</v>
      </c>
      <c r="AB44" s="150">
        <f t="shared" si="172"/>
        <v>5.3022864384000004</v>
      </c>
      <c r="AC44" s="150">
        <f t="shared" si="173"/>
        <v>4.4185720320000001</v>
      </c>
      <c r="AD44" s="150">
        <f t="shared" si="166"/>
        <v>0.38964480000000007</v>
      </c>
      <c r="AE44" s="150">
        <f t="shared" si="167"/>
        <v>0.77928960000000014</v>
      </c>
      <c r="AF44" s="150">
        <f t="shared" si="174"/>
        <v>0.17674288128000004</v>
      </c>
      <c r="AG44" s="150">
        <f t="shared" si="175"/>
        <v>0.35348576256000008</v>
      </c>
      <c r="AH44" s="76">
        <v>10000</v>
      </c>
      <c r="AI44" s="76">
        <v>30000</v>
      </c>
      <c r="AJ44" s="76">
        <f t="shared" si="55"/>
        <v>20000</v>
      </c>
      <c r="AK44" s="76">
        <f t="shared" si="126"/>
        <v>10000</v>
      </c>
      <c r="AL44" s="76">
        <f t="shared" si="127"/>
        <v>30000</v>
      </c>
      <c r="AM44" s="76">
        <f t="shared" si="147"/>
        <v>20000</v>
      </c>
      <c r="AN44" s="108">
        <v>0.45</v>
      </c>
      <c r="AO44" s="76">
        <v>0</v>
      </c>
      <c r="AP44" s="76">
        <f>(AK44*(1+$AN$2))+AO44</f>
        <v>14000</v>
      </c>
      <c r="AQ44" s="76">
        <f>(AL44*(1+$AN$2))+AO44</f>
        <v>42000</v>
      </c>
      <c r="AR44" s="76">
        <f t="shared" si="60"/>
        <v>28000</v>
      </c>
      <c r="AS44" s="76">
        <v>1000</v>
      </c>
      <c r="AT44" s="76">
        <v>1500</v>
      </c>
      <c r="AU44" s="76">
        <f t="shared" si="67"/>
        <v>1250</v>
      </c>
      <c r="AV44" s="76">
        <f t="shared" si="128"/>
        <v>1000</v>
      </c>
      <c r="AW44" s="76">
        <f t="shared" si="129"/>
        <v>1500</v>
      </c>
      <c r="AX44" s="76">
        <f t="shared" si="148"/>
        <v>1250</v>
      </c>
      <c r="AY44" s="51">
        <v>0</v>
      </c>
      <c r="AZ44" s="51">
        <v>-0.2</v>
      </c>
      <c r="BA44" s="51">
        <v>0.1</v>
      </c>
      <c r="BB44" s="338" t="s">
        <v>314</v>
      </c>
      <c r="BC44" s="76">
        <f t="shared" si="176"/>
        <v>11200</v>
      </c>
      <c r="BD44" s="76">
        <f t="shared" si="177"/>
        <v>33600</v>
      </c>
      <c r="BE44" s="76">
        <f t="shared" si="48"/>
        <v>22400</v>
      </c>
      <c r="BF44" s="76">
        <f t="shared" si="178"/>
        <v>1100</v>
      </c>
      <c r="BG44" s="76">
        <f t="shared" si="179"/>
        <v>1650.0000000000002</v>
      </c>
      <c r="BH44" s="76">
        <f t="shared" si="6"/>
        <v>1375</v>
      </c>
      <c r="BI44" s="4">
        <v>10</v>
      </c>
      <c r="BJ44" s="76">
        <v>5000</v>
      </c>
      <c r="BK44" s="76">
        <f t="shared" si="160"/>
        <v>10000</v>
      </c>
      <c r="BL44" s="116">
        <f t="shared" si="153"/>
        <v>4954.0136820688003</v>
      </c>
      <c r="BM44" s="4">
        <f t="shared" si="168"/>
        <v>194.82240000000002</v>
      </c>
      <c r="BN44" s="4">
        <f t="shared" si="65"/>
        <v>88.371440640000003</v>
      </c>
      <c r="BO44" s="4">
        <f t="shared" si="157"/>
        <v>11.689344000000002</v>
      </c>
      <c r="BP44" s="4">
        <f t="shared" si="66"/>
        <v>5.3022864384000012</v>
      </c>
      <c r="BQ44" s="335">
        <f t="shared" si="169"/>
        <v>127.85220000000001</v>
      </c>
      <c r="BR44" s="335">
        <f t="shared" si="170"/>
        <v>57.99375792</v>
      </c>
      <c r="BS44" s="335">
        <f t="shared" si="158"/>
        <v>8.7670080000000006</v>
      </c>
      <c r="BT44" s="335">
        <f t="shared" si="159"/>
        <v>3.9767148288000009</v>
      </c>
      <c r="BU44" s="76" t="str">
        <f t="shared" si="154"/>
        <v>N/A</v>
      </c>
      <c r="BV44" s="116">
        <f t="shared" si="180"/>
        <v>718.04935757778401</v>
      </c>
      <c r="BW44" s="88">
        <f t="shared" si="17"/>
        <v>140.40486967652998</v>
      </c>
      <c r="BX44" s="89">
        <f t="shared" si="18"/>
        <v>87.954666511615088</v>
      </c>
      <c r="BY44" s="89">
        <f t="shared" si="19"/>
        <v>228.35953618814506</v>
      </c>
      <c r="BZ44" s="89">
        <f t="shared" si="20"/>
        <v>309.53454514226189</v>
      </c>
      <c r="CA44" s="89">
        <f t="shared" si="21"/>
        <v>193.90358578398389</v>
      </c>
      <c r="CB44" s="89">
        <f t="shared" si="22"/>
        <v>503.43813092624578</v>
      </c>
      <c r="CC44" s="89">
        <f t="shared" si="23"/>
        <v>2340.0811612754997</v>
      </c>
      <c r="CD44" s="89">
        <f t="shared" si="24"/>
        <v>1465.9111085269178</v>
      </c>
      <c r="CE44" s="89">
        <f t="shared" si="25"/>
        <v>3805.9922698024175</v>
      </c>
      <c r="CF44" s="89">
        <f t="shared" si="26"/>
        <v>5158.9090857043639</v>
      </c>
      <c r="CG44" s="89">
        <f t="shared" si="27"/>
        <v>3231.7264297330639</v>
      </c>
      <c r="CH44" s="89">
        <f t="shared" si="28"/>
        <v>8390.6355154374287</v>
      </c>
      <c r="CI44" s="41">
        <f t="shared" si="82"/>
        <v>2130.8664863309682</v>
      </c>
      <c r="CJ44" s="41">
        <f t="shared" si="83"/>
        <v>6950.2591931409033</v>
      </c>
      <c r="CK44" s="41">
        <f t="shared" si="84"/>
        <v>31962.99729496452</v>
      </c>
      <c r="CL44" s="41">
        <f t="shared" si="85"/>
        <v>139005.18386281806</v>
      </c>
      <c r="CM44" s="359">
        <f t="shared" si="29"/>
        <v>213.95027760233143</v>
      </c>
      <c r="CN44" s="210">
        <f t="shared" si="30"/>
        <v>134.02615849388965</v>
      </c>
      <c r="CO44" s="210">
        <f t="shared" si="51"/>
        <v>347.97643609622105</v>
      </c>
      <c r="CP44" s="210">
        <f t="shared" si="32"/>
        <v>471.67168783582764</v>
      </c>
      <c r="CQ44" s="210">
        <f t="shared" si="33"/>
        <v>295.47213071845164</v>
      </c>
      <c r="CR44" s="210">
        <f t="shared" si="52"/>
        <v>767.14381855427928</v>
      </c>
      <c r="CS44" s="210">
        <f t="shared" si="35"/>
        <v>3120.1082150339998</v>
      </c>
      <c r="CT44" s="210">
        <f t="shared" si="36"/>
        <v>1954.5481447025575</v>
      </c>
      <c r="CU44" s="210">
        <f t="shared" si="53"/>
        <v>5074.6563597365575</v>
      </c>
      <c r="CV44" s="210">
        <f t="shared" si="38"/>
        <v>6878.5454476058185</v>
      </c>
      <c r="CW44" s="210">
        <f t="shared" si="39"/>
        <v>4308.9685729774183</v>
      </c>
      <c r="CX44" s="210">
        <f t="shared" si="54"/>
        <v>11187.514020583236</v>
      </c>
      <c r="CY44" s="299" t="s">
        <v>122</v>
      </c>
      <c r="CZ44" s="298" t="s">
        <v>57</v>
      </c>
      <c r="DA44" s="298" t="s">
        <v>57</v>
      </c>
      <c r="DB44" s="298" t="s">
        <v>345</v>
      </c>
      <c r="DC44" s="298" t="s">
        <v>57</v>
      </c>
      <c r="DD44" s="279" t="s">
        <v>144</v>
      </c>
      <c r="DE44" s="279" t="s">
        <v>147</v>
      </c>
      <c r="DF44" s="298" t="s">
        <v>56</v>
      </c>
      <c r="DG44" s="298" t="s">
        <v>56</v>
      </c>
      <c r="DH44" s="298" t="s">
        <v>57</v>
      </c>
      <c r="DI44" s="298" t="s">
        <v>57</v>
      </c>
      <c r="DJ44" s="280" t="s">
        <v>77</v>
      </c>
      <c r="DK44" s="280" t="s">
        <v>77</v>
      </c>
      <c r="DL44" s="280" t="s">
        <v>77</v>
      </c>
      <c r="DM44" s="279" t="s">
        <v>375</v>
      </c>
      <c r="DN44" s="83" t="s">
        <v>376</v>
      </c>
      <c r="DO44" s="366" t="s">
        <v>721</v>
      </c>
      <c r="DP44" s="279" t="s">
        <v>395</v>
      </c>
      <c r="DQ44" s="109" t="s">
        <v>148</v>
      </c>
      <c r="DR44" s="28"/>
      <c r="DS44" s="28"/>
      <c r="DT44" s="28"/>
      <c r="DU44" s="28"/>
      <c r="DV44" s="28"/>
      <c r="DW44" s="28"/>
      <c r="DX44" s="28"/>
      <c r="DY44" s="28"/>
    </row>
    <row r="45" spans="1:129" ht="140.25" customHeight="1" x14ac:dyDescent="0.2">
      <c r="A45" s="529"/>
      <c r="B45" s="294" t="s">
        <v>29</v>
      </c>
      <c r="C45" s="84"/>
      <c r="D45" s="241">
        <v>602</v>
      </c>
      <c r="E45" s="279" t="s">
        <v>430</v>
      </c>
      <c r="F45" s="280" t="s">
        <v>105</v>
      </c>
      <c r="G45" s="280" t="s">
        <v>106</v>
      </c>
      <c r="H45" s="286" t="s">
        <v>134</v>
      </c>
      <c r="I45" s="285" t="s">
        <v>505</v>
      </c>
      <c r="J45" s="279" t="s">
        <v>344</v>
      </c>
      <c r="K45" s="265" t="s">
        <v>691</v>
      </c>
      <c r="L45" s="280" t="s">
        <v>11</v>
      </c>
      <c r="M45" s="320">
        <v>160</v>
      </c>
      <c r="N45" s="11" t="s">
        <v>77</v>
      </c>
      <c r="O45" s="11" t="s">
        <v>77</v>
      </c>
      <c r="P45" s="316">
        <f t="shared" si="171"/>
        <v>1</v>
      </c>
      <c r="Q45" s="103">
        <f t="shared" si="181"/>
        <v>40</v>
      </c>
      <c r="R45" s="103">
        <f t="shared" si="182"/>
        <v>8</v>
      </c>
      <c r="S45" s="4">
        <v>70</v>
      </c>
      <c r="T45" s="4">
        <v>80</v>
      </c>
      <c r="U45" s="4">
        <v>26</v>
      </c>
      <c r="V45" s="4">
        <v>40</v>
      </c>
      <c r="W45" s="194">
        <f t="shared" si="42"/>
        <v>0.41950113378684806</v>
      </c>
      <c r="X45" s="51" t="s">
        <v>387</v>
      </c>
      <c r="Y45" s="150">
        <f t="shared" si="161"/>
        <v>13.637568000000002</v>
      </c>
      <c r="Z45" s="150">
        <f t="shared" si="162"/>
        <v>15.585792000000001</v>
      </c>
      <c r="AA45" s="150">
        <f t="shared" si="163"/>
        <v>6.1860008448000006</v>
      </c>
      <c r="AB45" s="150">
        <f t="shared" si="172"/>
        <v>7.0697152512000008</v>
      </c>
      <c r="AC45" s="150">
        <f t="shared" si="173"/>
        <v>6.6278580480000002</v>
      </c>
      <c r="AD45" s="150">
        <f t="shared" si="166"/>
        <v>1.0130764800000001</v>
      </c>
      <c r="AE45" s="150">
        <f t="shared" si="167"/>
        <v>1.5585792000000003</v>
      </c>
      <c r="AF45" s="150">
        <f t="shared" si="174"/>
        <v>0.45953149132800003</v>
      </c>
      <c r="AG45" s="150">
        <f t="shared" si="175"/>
        <v>0.70697152512000017</v>
      </c>
      <c r="AH45" s="76">
        <v>15000</v>
      </c>
      <c r="AI45" s="76">
        <v>35000</v>
      </c>
      <c r="AJ45" s="114">
        <f t="shared" si="55"/>
        <v>25000</v>
      </c>
      <c r="AK45" s="76">
        <f t="shared" si="126"/>
        <v>15000</v>
      </c>
      <c r="AL45" s="76">
        <f t="shared" si="127"/>
        <v>35000</v>
      </c>
      <c r="AM45" s="76">
        <f t="shared" si="147"/>
        <v>25000</v>
      </c>
      <c r="AN45" s="108">
        <v>0.4</v>
      </c>
      <c r="AO45" s="76">
        <v>0</v>
      </c>
      <c r="AP45" s="76">
        <f>(AK45*(1+$AN$2))+AO45</f>
        <v>21000</v>
      </c>
      <c r="AQ45" s="76">
        <f>(AL45*(1+$AN$2))+AO45</f>
        <v>49000</v>
      </c>
      <c r="AR45" s="76">
        <f t="shared" si="60"/>
        <v>35000</v>
      </c>
      <c r="AS45" s="76">
        <v>3000</v>
      </c>
      <c r="AT45" s="76">
        <v>4000</v>
      </c>
      <c r="AU45" s="116">
        <f t="shared" si="67"/>
        <v>3500</v>
      </c>
      <c r="AV45" s="76">
        <f t="shared" si="128"/>
        <v>3000</v>
      </c>
      <c r="AW45" s="76">
        <f t="shared" si="129"/>
        <v>4000</v>
      </c>
      <c r="AX45" s="76">
        <f t="shared" si="148"/>
        <v>3500</v>
      </c>
      <c r="AY45" s="51">
        <v>0</v>
      </c>
      <c r="AZ45" s="51">
        <v>-0.2</v>
      </c>
      <c r="BA45" s="51">
        <v>0.1</v>
      </c>
      <c r="BB45" s="338" t="s">
        <v>314</v>
      </c>
      <c r="BC45" s="76">
        <f t="shared" si="176"/>
        <v>16800</v>
      </c>
      <c r="BD45" s="76">
        <f t="shared" si="177"/>
        <v>39200</v>
      </c>
      <c r="BE45" s="76">
        <f t="shared" si="48"/>
        <v>28000</v>
      </c>
      <c r="BF45" s="76">
        <f t="shared" si="178"/>
        <v>3300.0000000000005</v>
      </c>
      <c r="BG45" s="76">
        <f t="shared" si="179"/>
        <v>4400</v>
      </c>
      <c r="BH45" s="76">
        <f t="shared" si="6"/>
        <v>3850.0000000000005</v>
      </c>
      <c r="BI45" s="4">
        <v>10</v>
      </c>
      <c r="BJ45" s="76">
        <v>7500</v>
      </c>
      <c r="BK45" s="76">
        <f t="shared" si="160"/>
        <v>15000</v>
      </c>
      <c r="BL45" s="116">
        <f t="shared" si="153"/>
        <v>7431.0205231031987</v>
      </c>
      <c r="BM45" s="4">
        <f t="shared" si="168"/>
        <v>292.23360000000002</v>
      </c>
      <c r="BN45" s="4">
        <f t="shared" si="65"/>
        <v>132.55716096</v>
      </c>
      <c r="BO45" s="4">
        <f t="shared" si="157"/>
        <v>25.716556799999999</v>
      </c>
      <c r="BP45" s="4">
        <f t="shared" si="66"/>
        <v>11.665030164479999</v>
      </c>
      <c r="BQ45" s="335">
        <f t="shared" si="169"/>
        <v>191.7783</v>
      </c>
      <c r="BR45" s="335">
        <f t="shared" si="170"/>
        <v>86.990636880000011</v>
      </c>
      <c r="BS45" s="335">
        <f t="shared" si="158"/>
        <v>19.287417599999998</v>
      </c>
      <c r="BT45" s="335">
        <f t="shared" si="159"/>
        <v>8.7487726233599989</v>
      </c>
      <c r="BU45" s="76" t="str">
        <f t="shared" si="154"/>
        <v>N/A</v>
      </c>
      <c r="BV45" s="116">
        <f t="shared" si="180"/>
        <v>919.93385601790658</v>
      </c>
      <c r="BW45" s="88">
        <f t="shared" si="17"/>
        <v>121.24211768634133</v>
      </c>
      <c r="BX45" s="89">
        <f t="shared" si="18"/>
        <v>164.18204415501484</v>
      </c>
      <c r="BY45" s="89">
        <f t="shared" si="19"/>
        <v>285.42416184135618</v>
      </c>
      <c r="BZ45" s="89">
        <f t="shared" si="20"/>
        <v>267.28861923796592</v>
      </c>
      <c r="CA45" s="89">
        <f t="shared" si="21"/>
        <v>361.95336013010325</v>
      </c>
      <c r="CB45" s="89">
        <f t="shared" si="22"/>
        <v>629.24197936806922</v>
      </c>
      <c r="CC45" s="89">
        <f t="shared" si="23"/>
        <v>1377.751337344788</v>
      </c>
      <c r="CD45" s="89">
        <f t="shared" si="24"/>
        <v>1865.7050472160779</v>
      </c>
      <c r="CE45" s="89">
        <f t="shared" si="25"/>
        <v>3243.4563845608659</v>
      </c>
      <c r="CF45" s="89">
        <f t="shared" si="26"/>
        <v>3037.370673158704</v>
      </c>
      <c r="CG45" s="89">
        <f t="shared" si="27"/>
        <v>4113.1063651148106</v>
      </c>
      <c r="CH45" s="89">
        <f t="shared" si="28"/>
        <v>7150.4770382735151</v>
      </c>
      <c r="CI45" s="41">
        <f t="shared" si="82"/>
        <v>3716.5447947965658</v>
      </c>
      <c r="CJ45" s="41">
        <f t="shared" si="83"/>
        <v>6895.1975533449904</v>
      </c>
      <c r="CK45" s="41">
        <f t="shared" si="84"/>
        <v>37165.447947965651</v>
      </c>
      <c r="CL45" s="41">
        <f t="shared" si="85"/>
        <v>92819.967064259487</v>
      </c>
      <c r="CM45" s="359">
        <f t="shared" si="29"/>
        <v>184.74989361728205</v>
      </c>
      <c r="CN45" s="210">
        <f t="shared" si="30"/>
        <v>250.18216252192738</v>
      </c>
      <c r="CO45" s="210">
        <f t="shared" si="51"/>
        <v>434.93205613920941</v>
      </c>
      <c r="CP45" s="210">
        <f t="shared" si="32"/>
        <v>407.29694360070994</v>
      </c>
      <c r="CQ45" s="210">
        <f t="shared" si="33"/>
        <v>551.54797734110969</v>
      </c>
      <c r="CR45" s="210">
        <f t="shared" si="52"/>
        <v>958.84492094181962</v>
      </c>
      <c r="CS45" s="210">
        <f t="shared" si="35"/>
        <v>1837.0017831263842</v>
      </c>
      <c r="CT45" s="210">
        <f t="shared" si="36"/>
        <v>2487.6067296214374</v>
      </c>
      <c r="CU45" s="210">
        <f t="shared" si="53"/>
        <v>4324.6085127478218</v>
      </c>
      <c r="CV45" s="210">
        <f t="shared" si="38"/>
        <v>4049.8275642116055</v>
      </c>
      <c r="CW45" s="210">
        <f t="shared" si="39"/>
        <v>5484.1418201530805</v>
      </c>
      <c r="CX45" s="210">
        <f t="shared" si="54"/>
        <v>9533.9693843646855</v>
      </c>
      <c r="CY45" s="299" t="s">
        <v>122</v>
      </c>
      <c r="CZ45" s="298" t="s">
        <v>57</v>
      </c>
      <c r="DA45" s="298" t="s">
        <v>57</v>
      </c>
      <c r="DB45" s="298" t="s">
        <v>345</v>
      </c>
      <c r="DC45" s="298" t="s">
        <v>57</v>
      </c>
      <c r="DD45" s="279" t="s">
        <v>144</v>
      </c>
      <c r="DE45" s="279" t="s">
        <v>147</v>
      </c>
      <c r="DF45" s="298" t="s">
        <v>56</v>
      </c>
      <c r="DG45" s="298" t="s">
        <v>56</v>
      </c>
      <c r="DH45" s="298" t="s">
        <v>57</v>
      </c>
      <c r="DI45" s="298" t="s">
        <v>57</v>
      </c>
      <c r="DJ45" s="280" t="s">
        <v>77</v>
      </c>
      <c r="DK45" s="280" t="s">
        <v>77</v>
      </c>
      <c r="DL45" s="280" t="s">
        <v>77</v>
      </c>
      <c r="DM45" s="279" t="s">
        <v>375</v>
      </c>
      <c r="DN45" s="83" t="s">
        <v>376</v>
      </c>
      <c r="DO45" s="366" t="s">
        <v>721</v>
      </c>
      <c r="DP45" s="279" t="s">
        <v>398</v>
      </c>
      <c r="DQ45" s="109" t="s">
        <v>148</v>
      </c>
      <c r="DR45" s="28"/>
      <c r="DS45" s="28"/>
      <c r="DT45" s="28"/>
      <c r="DU45" s="28"/>
      <c r="DV45" s="28"/>
      <c r="DW45" s="28"/>
      <c r="DX45" s="28"/>
      <c r="DY45" s="28"/>
    </row>
    <row r="46" spans="1:129" ht="189" customHeight="1" x14ac:dyDescent="0.2">
      <c r="A46" s="528" t="s">
        <v>451</v>
      </c>
      <c r="B46" s="294" t="s">
        <v>351</v>
      </c>
      <c r="C46" s="84"/>
      <c r="D46" s="241">
        <v>603</v>
      </c>
      <c r="E46" s="279" t="s">
        <v>431</v>
      </c>
      <c r="F46" s="280" t="s">
        <v>105</v>
      </c>
      <c r="G46" s="280" t="s">
        <v>106</v>
      </c>
      <c r="H46" s="286" t="s">
        <v>134</v>
      </c>
      <c r="I46" s="285" t="s">
        <v>497</v>
      </c>
      <c r="J46" s="279" t="s">
        <v>344</v>
      </c>
      <c r="K46" s="265" t="s">
        <v>682</v>
      </c>
      <c r="L46" s="280" t="s">
        <v>11</v>
      </c>
      <c r="M46" s="320">
        <v>10000</v>
      </c>
      <c r="N46" s="11" t="s">
        <v>77</v>
      </c>
      <c r="O46" s="11" t="s">
        <v>77</v>
      </c>
      <c r="P46" s="316">
        <f t="shared" si="171"/>
        <v>62.5</v>
      </c>
      <c r="Q46" s="103">
        <f t="shared" si="181"/>
        <v>40</v>
      </c>
      <c r="R46" s="103">
        <f t="shared" si="182"/>
        <v>8</v>
      </c>
      <c r="S46" s="4">
        <v>55</v>
      </c>
      <c r="T46" s="4">
        <v>70</v>
      </c>
      <c r="U46" s="4">
        <v>26</v>
      </c>
      <c r="V46" s="4">
        <v>40</v>
      </c>
      <c r="W46" s="194">
        <f t="shared" si="42"/>
        <v>0.12925170068027211</v>
      </c>
      <c r="X46" s="51" t="s">
        <v>387</v>
      </c>
      <c r="Y46" s="150">
        <f t="shared" si="161"/>
        <v>669.702</v>
      </c>
      <c r="Z46" s="150">
        <f t="shared" si="162"/>
        <v>852.34799999999996</v>
      </c>
      <c r="AA46" s="150">
        <f t="shared" si="163"/>
        <v>303.77682720000001</v>
      </c>
      <c r="AB46" s="150">
        <f t="shared" si="172"/>
        <v>386.62505279999999</v>
      </c>
      <c r="AC46" s="150">
        <f t="shared" si="173"/>
        <v>345.20094</v>
      </c>
      <c r="AD46" s="150">
        <f t="shared" si="166"/>
        <v>63.317280000000004</v>
      </c>
      <c r="AE46" s="150">
        <f t="shared" si="167"/>
        <v>97.411200000000008</v>
      </c>
      <c r="AF46" s="150">
        <f t="shared" si="174"/>
        <v>28.720718208000001</v>
      </c>
      <c r="AG46" s="150">
        <f t="shared" si="175"/>
        <v>44.185720320000001</v>
      </c>
      <c r="AH46" s="76"/>
      <c r="AI46" s="76"/>
      <c r="AJ46" s="99">
        <f>ROUND(((3698*$M46^-0.381)*$M46),-3)</f>
        <v>1107000</v>
      </c>
      <c r="AK46" s="76"/>
      <c r="AL46" s="76"/>
      <c r="AM46" s="76">
        <f t="shared" si="147"/>
        <v>1107000</v>
      </c>
      <c r="AN46" s="108">
        <v>0.45</v>
      </c>
      <c r="AO46" s="76">
        <f>$AA$111</f>
        <v>250000</v>
      </c>
      <c r="AP46" s="76"/>
      <c r="AQ46" s="76"/>
      <c r="AR46" s="76">
        <f t="shared" ref="AR46:AR51" si="183">(AM46*(1+$AN$2))+AO46</f>
        <v>1799800</v>
      </c>
      <c r="AS46" s="76"/>
      <c r="AT46" s="76"/>
      <c r="AU46" s="148">
        <f>ROUND(((626.43*$M46^-0.421)*$M46),-3)</f>
        <v>130000</v>
      </c>
      <c r="AV46" s="76"/>
      <c r="AW46" s="76"/>
      <c r="AX46" s="76">
        <f t="shared" si="148"/>
        <v>130000</v>
      </c>
      <c r="AY46" s="51">
        <v>0</v>
      </c>
      <c r="AZ46" s="51">
        <v>0</v>
      </c>
      <c r="BA46" s="51">
        <v>0.1</v>
      </c>
      <c r="BB46" s="338" t="s">
        <v>313</v>
      </c>
      <c r="BC46" s="76"/>
      <c r="BD46" s="76"/>
      <c r="BE46" s="76">
        <f t="shared" si="48"/>
        <v>1799800</v>
      </c>
      <c r="BF46" s="76"/>
      <c r="BG46" s="76"/>
      <c r="BH46" s="76">
        <f t="shared" si="6"/>
        <v>143000</v>
      </c>
      <c r="BI46" s="4">
        <v>10</v>
      </c>
      <c r="BJ46" s="76">
        <v>125000</v>
      </c>
      <c r="BK46" s="76">
        <f t="shared" si="160"/>
        <v>250000</v>
      </c>
      <c r="BL46" s="116">
        <f t="shared" si="153"/>
        <v>123850.34205171998</v>
      </c>
      <c r="BM46" s="4">
        <f t="shared" si="168"/>
        <v>15220.5</v>
      </c>
      <c r="BN46" s="4">
        <f t="shared" si="65"/>
        <v>6904.0187999999998</v>
      </c>
      <c r="BO46" s="4">
        <f t="shared" si="157"/>
        <v>1607.2848000000001</v>
      </c>
      <c r="BP46" s="4">
        <f t="shared" si="66"/>
        <v>729.06438528000001</v>
      </c>
      <c r="BQ46" s="335">
        <f t="shared" si="169"/>
        <v>9988.453125</v>
      </c>
      <c r="BR46" s="335">
        <f t="shared" si="170"/>
        <v>4530.7623375000003</v>
      </c>
      <c r="BS46" s="335">
        <f t="shared" si="158"/>
        <v>1205.4636</v>
      </c>
      <c r="BT46" s="335">
        <f t="shared" si="159"/>
        <v>546.79828896000004</v>
      </c>
      <c r="BU46" s="76" t="str">
        <f t="shared" si="154"/>
        <v>N/A</v>
      </c>
      <c r="BV46" s="116">
        <f t="shared" si="180"/>
        <v>832.69248319362623</v>
      </c>
      <c r="BW46" s="88">
        <f t="shared" si="17"/>
        <v>126.38548944198416</v>
      </c>
      <c r="BX46" s="89">
        <f t="shared" si="18"/>
        <v>117.08525206026201</v>
      </c>
      <c r="BY46" s="89">
        <f t="shared" si="19"/>
        <v>243.47074150224617</v>
      </c>
      <c r="BZ46" s="89">
        <f t="shared" si="20"/>
        <v>278.62762222659649</v>
      </c>
      <c r="CA46" s="89">
        <f t="shared" si="21"/>
        <v>258.12445339563936</v>
      </c>
      <c r="CB46" s="89">
        <f t="shared" si="22"/>
        <v>536.75207562223591</v>
      </c>
      <c r="CC46" s="89">
        <f t="shared" si="23"/>
        <v>1196.8322863824258</v>
      </c>
      <c r="CD46" s="89">
        <f t="shared" si="24"/>
        <v>1108.761856631269</v>
      </c>
      <c r="CE46" s="89">
        <f t="shared" si="25"/>
        <v>2305.5941430136945</v>
      </c>
      <c r="CF46" s="89">
        <f t="shared" si="26"/>
        <v>2638.5191498730728</v>
      </c>
      <c r="CG46" s="89">
        <f t="shared" si="27"/>
        <v>2444.3603541253729</v>
      </c>
      <c r="CH46" s="89">
        <f t="shared" si="28"/>
        <v>5082.8795039984452</v>
      </c>
      <c r="CI46" s="41">
        <f t="shared" si="82"/>
        <v>0</v>
      </c>
      <c r="CJ46" s="41">
        <f t="shared" si="83"/>
        <v>0</v>
      </c>
      <c r="CK46" s="41">
        <f t="shared" si="84"/>
        <v>0</v>
      </c>
      <c r="CL46" s="41">
        <f t="shared" si="85"/>
        <v>0</v>
      </c>
      <c r="CM46" s="359">
        <f t="shared" si="29"/>
        <v>192.58741248302348</v>
      </c>
      <c r="CN46" s="210">
        <f t="shared" si="30"/>
        <v>178.41562218706594</v>
      </c>
      <c r="CO46" s="210">
        <f t="shared" si="51"/>
        <v>371.00303467008939</v>
      </c>
      <c r="CP46" s="210">
        <f t="shared" si="32"/>
        <v>424.57542434528983</v>
      </c>
      <c r="CQ46" s="210">
        <f t="shared" si="33"/>
        <v>393.33250041240279</v>
      </c>
      <c r="CR46" s="210">
        <f t="shared" si="52"/>
        <v>817.90792475769263</v>
      </c>
      <c r="CS46" s="210">
        <f t="shared" si="35"/>
        <v>1595.7763818432343</v>
      </c>
      <c r="CT46" s="210">
        <f t="shared" si="36"/>
        <v>1478.3491421750252</v>
      </c>
      <c r="CU46" s="210">
        <f t="shared" si="53"/>
        <v>3074.1255240182595</v>
      </c>
      <c r="CV46" s="210">
        <f t="shared" si="38"/>
        <v>3518.0255331640969</v>
      </c>
      <c r="CW46" s="210">
        <f t="shared" si="39"/>
        <v>3259.14713883383</v>
      </c>
      <c r="CX46" s="210">
        <f t="shared" si="54"/>
        <v>6777.172671997927</v>
      </c>
      <c r="CY46" s="299" t="s">
        <v>320</v>
      </c>
      <c r="CZ46" s="298" t="s">
        <v>56</v>
      </c>
      <c r="DA46" s="298" t="s">
        <v>57</v>
      </c>
      <c r="DB46" s="298" t="s">
        <v>345</v>
      </c>
      <c r="DC46" s="298" t="s">
        <v>57</v>
      </c>
      <c r="DD46" s="279" t="s">
        <v>149</v>
      </c>
      <c r="DE46" s="279" t="s">
        <v>150</v>
      </c>
      <c r="DF46" s="298" t="s">
        <v>56</v>
      </c>
      <c r="DG46" s="298" t="s">
        <v>56</v>
      </c>
      <c r="DH46" s="298" t="s">
        <v>57</v>
      </c>
      <c r="DI46" s="298" t="s">
        <v>57</v>
      </c>
      <c r="DJ46" s="280" t="s">
        <v>77</v>
      </c>
      <c r="DK46" s="280" t="s">
        <v>77</v>
      </c>
      <c r="DL46" s="280" t="s">
        <v>77</v>
      </c>
      <c r="DM46" s="279" t="s">
        <v>371</v>
      </c>
      <c r="DN46" s="280" t="s">
        <v>116</v>
      </c>
      <c r="DO46" s="366" t="s">
        <v>722</v>
      </c>
      <c r="DP46" s="279"/>
      <c r="DQ46" s="109" t="s">
        <v>151</v>
      </c>
      <c r="DR46" s="28"/>
      <c r="DS46" s="28"/>
      <c r="DT46" s="28"/>
      <c r="DU46" s="28"/>
      <c r="DV46" s="28"/>
      <c r="DW46" s="28"/>
      <c r="DX46" s="28"/>
      <c r="DY46" s="28"/>
    </row>
    <row r="47" spans="1:129" ht="171.75" customHeight="1" x14ac:dyDescent="0.2">
      <c r="A47" s="527"/>
      <c r="B47" s="294" t="s">
        <v>30</v>
      </c>
      <c r="C47" s="84"/>
      <c r="D47" s="241">
        <v>604</v>
      </c>
      <c r="E47" s="279" t="s">
        <v>432</v>
      </c>
      <c r="F47" s="280" t="s">
        <v>105</v>
      </c>
      <c r="G47" s="280" t="s">
        <v>106</v>
      </c>
      <c r="H47" s="286" t="s">
        <v>134</v>
      </c>
      <c r="I47" s="285" t="s">
        <v>497</v>
      </c>
      <c r="J47" s="279" t="s">
        <v>344</v>
      </c>
      <c r="K47" s="265" t="s">
        <v>683</v>
      </c>
      <c r="L47" s="280" t="s">
        <v>11</v>
      </c>
      <c r="M47" s="320">
        <v>10000</v>
      </c>
      <c r="N47" s="11" t="s">
        <v>77</v>
      </c>
      <c r="O47" s="11" t="s">
        <v>77</v>
      </c>
      <c r="P47" s="316">
        <f t="shared" si="171"/>
        <v>62.5</v>
      </c>
      <c r="Q47" s="103">
        <f t="shared" si="181"/>
        <v>40</v>
      </c>
      <c r="R47" s="103">
        <f t="shared" si="182"/>
        <v>8</v>
      </c>
      <c r="S47" s="4">
        <v>70</v>
      </c>
      <c r="T47" s="4">
        <v>90</v>
      </c>
      <c r="U47" s="4">
        <v>40</v>
      </c>
      <c r="V47" s="4">
        <v>60</v>
      </c>
      <c r="W47" s="194">
        <f t="shared" si="42"/>
        <v>0.53560090702947849</v>
      </c>
      <c r="X47" s="51" t="s">
        <v>387</v>
      </c>
      <c r="Y47" s="150">
        <f t="shared" si="161"/>
        <v>852.34799999999996</v>
      </c>
      <c r="Z47" s="150">
        <f t="shared" si="162"/>
        <v>1095.876</v>
      </c>
      <c r="AA47" s="150">
        <f t="shared" si="163"/>
        <v>386.62505279999999</v>
      </c>
      <c r="AB47" s="150">
        <f t="shared" si="172"/>
        <v>497.08935359999998</v>
      </c>
      <c r="AC47" s="150">
        <f t="shared" si="173"/>
        <v>441.85720319999996</v>
      </c>
      <c r="AD47" s="150">
        <f t="shared" si="166"/>
        <v>97.411200000000008</v>
      </c>
      <c r="AE47" s="150">
        <f t="shared" si="167"/>
        <v>146.11680000000001</v>
      </c>
      <c r="AF47" s="150">
        <f t="shared" si="174"/>
        <v>44.185720320000001</v>
      </c>
      <c r="AG47" s="150">
        <f t="shared" si="175"/>
        <v>66.278580480000002</v>
      </c>
      <c r="AH47" s="76"/>
      <c r="AI47" s="76"/>
      <c r="AJ47" s="99">
        <f>ROUND((((3698.1*$M47^-0.381)*$M47)*1.2),-3)</f>
        <v>1328000</v>
      </c>
      <c r="AK47" s="76"/>
      <c r="AL47" s="76"/>
      <c r="AM47" s="76">
        <f t="shared" si="147"/>
        <v>1328000</v>
      </c>
      <c r="AN47" s="108">
        <v>0.4</v>
      </c>
      <c r="AO47" s="76">
        <f>$AA$111</f>
        <v>250000</v>
      </c>
      <c r="AP47" s="76"/>
      <c r="AQ47" s="76"/>
      <c r="AR47" s="76">
        <f t="shared" si="183"/>
        <v>2109200</v>
      </c>
      <c r="AS47" s="76"/>
      <c r="AT47" s="76"/>
      <c r="AU47" s="148">
        <f>ROUND((((626.43*$M47^-0.421)*$M47)*1.2),-3)</f>
        <v>156000</v>
      </c>
      <c r="AV47" s="76"/>
      <c r="AW47" s="76"/>
      <c r="AX47" s="76">
        <f t="shared" si="148"/>
        <v>156000</v>
      </c>
      <c r="AY47" s="51">
        <v>0</v>
      </c>
      <c r="AZ47" s="51">
        <v>0</v>
      </c>
      <c r="BA47" s="51">
        <v>0.1</v>
      </c>
      <c r="BB47" s="338" t="s">
        <v>313</v>
      </c>
      <c r="BC47" s="76"/>
      <c r="BD47" s="76"/>
      <c r="BE47" s="76">
        <f t="shared" si="48"/>
        <v>2109200</v>
      </c>
      <c r="BF47" s="76"/>
      <c r="BG47" s="76"/>
      <c r="BH47" s="76">
        <f t="shared" si="6"/>
        <v>171600</v>
      </c>
      <c r="BI47" s="4">
        <v>10</v>
      </c>
      <c r="BJ47" s="76">
        <v>150000</v>
      </c>
      <c r="BK47" s="76">
        <f t="shared" si="160"/>
        <v>300000</v>
      </c>
      <c r="BL47" s="116">
        <f t="shared" si="153"/>
        <v>148620.410462064</v>
      </c>
      <c r="BM47" s="4">
        <f t="shared" si="168"/>
        <v>19482.239999999998</v>
      </c>
      <c r="BN47" s="4">
        <f t="shared" si="65"/>
        <v>8837.1440639999983</v>
      </c>
      <c r="BO47" s="4">
        <f t="shared" si="157"/>
        <v>2435.2800000000002</v>
      </c>
      <c r="BP47" s="4">
        <f t="shared" si="66"/>
        <v>1104.643008</v>
      </c>
      <c r="BQ47" s="335">
        <f t="shared" si="169"/>
        <v>12785.22</v>
      </c>
      <c r="BR47" s="335">
        <f t="shared" si="170"/>
        <v>5799.3757919999989</v>
      </c>
      <c r="BS47" s="335">
        <f t="shared" si="158"/>
        <v>1826.46</v>
      </c>
      <c r="BT47" s="335">
        <f t="shared" si="159"/>
        <v>828.48225600000001</v>
      </c>
      <c r="BU47" s="76" t="str">
        <f t="shared" si="154"/>
        <v>N/A</v>
      </c>
      <c r="BV47" s="116">
        <f t="shared" si="180"/>
        <v>771.46572724138252</v>
      </c>
      <c r="BW47" s="88">
        <f t="shared" si="17"/>
        <v>115.89121222518891</v>
      </c>
      <c r="BX47" s="89">
        <f t="shared" si="18"/>
        <v>109.76742380649566</v>
      </c>
      <c r="BY47" s="89">
        <f t="shared" si="19"/>
        <v>225.65863603168458</v>
      </c>
      <c r="BZ47" s="89">
        <f t="shared" si="20"/>
        <v>255.49209044353819</v>
      </c>
      <c r="CA47" s="89">
        <f t="shared" si="21"/>
        <v>241.99167505841197</v>
      </c>
      <c r="CB47" s="89">
        <f t="shared" si="22"/>
        <v>497.48376550195019</v>
      </c>
      <c r="CC47" s="89">
        <f t="shared" si="23"/>
        <v>927.12969780151116</v>
      </c>
      <c r="CD47" s="89">
        <f t="shared" si="24"/>
        <v>878.13939045196514</v>
      </c>
      <c r="CE47" s="89">
        <f t="shared" si="25"/>
        <v>1805.2690882534762</v>
      </c>
      <c r="CF47" s="89">
        <f t="shared" si="26"/>
        <v>2043.9367235483051</v>
      </c>
      <c r="CG47" s="89">
        <f t="shared" si="27"/>
        <v>1935.9334004672953</v>
      </c>
      <c r="CH47" s="89">
        <f t="shared" si="28"/>
        <v>3979.8701240156006</v>
      </c>
      <c r="CI47" s="41">
        <f t="shared" ref="CI47:CI64" si="184">IF(Z47&gt;0,((BC47+PV($BY$2,$CB$2,-BF47,0,0))/Z47),0)</f>
        <v>0</v>
      </c>
      <c r="CJ47" s="41">
        <f t="shared" ref="CJ47:CJ64" si="185">IF(Y47&gt;0,((BD47+PV($BY$2,$CB$2,-BG47,0,0))/Y47),0)</f>
        <v>0</v>
      </c>
      <c r="CK47" s="41">
        <f t="shared" ref="CK47:CK64" si="186">IF(AE47&gt;0,((BC47+PV($BY$2,$CB$2,-BF47,0,0))/AE47),0)</f>
        <v>0</v>
      </c>
      <c r="CL47" s="41">
        <f t="shared" ref="CL47:CL64" si="187">IF(AD47&gt;0,((BD47+PV($BY$2,$CB$2,-BG47,0,0))/AD47),0)</f>
        <v>0</v>
      </c>
      <c r="CM47" s="359">
        <f t="shared" si="29"/>
        <v>176.59613291457356</v>
      </c>
      <c r="CN47" s="210">
        <f t="shared" si="30"/>
        <v>167.26464580037432</v>
      </c>
      <c r="CO47" s="210">
        <f t="shared" si="51"/>
        <v>343.86077871494786</v>
      </c>
      <c r="CP47" s="210">
        <f t="shared" si="32"/>
        <v>389.32128067586774</v>
      </c>
      <c r="CQ47" s="210">
        <f t="shared" si="33"/>
        <v>368.74921913662774</v>
      </c>
      <c r="CR47" s="210">
        <f t="shared" si="52"/>
        <v>758.07049981249543</v>
      </c>
      <c r="CS47" s="210">
        <f t="shared" si="35"/>
        <v>1236.172930402015</v>
      </c>
      <c r="CT47" s="210">
        <f t="shared" si="36"/>
        <v>1170.8525206026202</v>
      </c>
      <c r="CU47" s="210">
        <f t="shared" si="53"/>
        <v>2407.0254510046352</v>
      </c>
      <c r="CV47" s="210">
        <f t="shared" si="38"/>
        <v>2725.2489647310736</v>
      </c>
      <c r="CW47" s="210">
        <f t="shared" si="39"/>
        <v>2581.2445339563938</v>
      </c>
      <c r="CX47" s="210">
        <f t="shared" si="54"/>
        <v>5306.4934986874669</v>
      </c>
      <c r="CY47" s="299" t="s">
        <v>320</v>
      </c>
      <c r="CZ47" s="298" t="s">
        <v>56</v>
      </c>
      <c r="DA47" s="298" t="s">
        <v>57</v>
      </c>
      <c r="DB47" s="298" t="s">
        <v>345</v>
      </c>
      <c r="DC47" s="298" t="s">
        <v>57</v>
      </c>
      <c r="DD47" s="279" t="s">
        <v>149</v>
      </c>
      <c r="DE47" s="279" t="s">
        <v>152</v>
      </c>
      <c r="DF47" s="298" t="s">
        <v>56</v>
      </c>
      <c r="DG47" s="298" t="s">
        <v>56</v>
      </c>
      <c r="DH47" s="298" t="s">
        <v>57</v>
      </c>
      <c r="DI47" s="298" t="s">
        <v>57</v>
      </c>
      <c r="DJ47" s="280" t="s">
        <v>77</v>
      </c>
      <c r="DK47" s="280" t="s">
        <v>77</v>
      </c>
      <c r="DL47" s="280" t="s">
        <v>77</v>
      </c>
      <c r="DM47" s="279" t="s">
        <v>371</v>
      </c>
      <c r="DN47" s="280" t="s">
        <v>116</v>
      </c>
      <c r="DO47" s="366" t="s">
        <v>534</v>
      </c>
      <c r="DP47" s="279" t="s">
        <v>396</v>
      </c>
      <c r="DQ47" s="109" t="s">
        <v>151</v>
      </c>
      <c r="DR47" s="28"/>
      <c r="DS47" s="28"/>
      <c r="DT47" s="28"/>
      <c r="DU47" s="28"/>
      <c r="DV47" s="28"/>
      <c r="DW47" s="28"/>
      <c r="DX47" s="28"/>
      <c r="DY47" s="28"/>
    </row>
    <row r="48" spans="1:129" ht="267.75" customHeight="1" x14ac:dyDescent="0.2">
      <c r="A48" s="527"/>
      <c r="B48" s="294" t="s">
        <v>31</v>
      </c>
      <c r="C48" s="84"/>
      <c r="D48" s="241">
        <v>605</v>
      </c>
      <c r="E48" s="279" t="s">
        <v>433</v>
      </c>
      <c r="F48" s="280" t="s">
        <v>105</v>
      </c>
      <c r="G48" s="280" t="s">
        <v>106</v>
      </c>
      <c r="H48" s="286" t="s">
        <v>134</v>
      </c>
      <c r="I48" s="285" t="s">
        <v>497</v>
      </c>
      <c r="J48" s="279" t="s">
        <v>153</v>
      </c>
      <c r="K48" s="265" t="s">
        <v>695</v>
      </c>
      <c r="L48" s="280" t="s">
        <v>11</v>
      </c>
      <c r="M48" s="320">
        <v>1000000</v>
      </c>
      <c r="N48" s="11" t="s">
        <v>77</v>
      </c>
      <c r="O48" s="11" t="s">
        <v>77</v>
      </c>
      <c r="P48" s="316">
        <f t="shared" si="171"/>
        <v>6250</v>
      </c>
      <c r="Q48" s="103">
        <f t="shared" si="181"/>
        <v>40</v>
      </c>
      <c r="R48" s="103">
        <f t="shared" si="182"/>
        <v>8</v>
      </c>
      <c r="S48" s="4">
        <v>80</v>
      </c>
      <c r="T48" s="4">
        <v>85</v>
      </c>
      <c r="U48" s="4">
        <v>60</v>
      </c>
      <c r="V48" s="4">
        <v>72</v>
      </c>
      <c r="W48" s="194">
        <f t="shared" si="42"/>
        <v>0.59365079365079365</v>
      </c>
      <c r="X48" s="51" t="s">
        <v>387</v>
      </c>
      <c r="Y48" s="150">
        <f t="shared" si="161"/>
        <v>97411.199999999997</v>
      </c>
      <c r="Z48" s="150">
        <f t="shared" si="162"/>
        <v>103499.4</v>
      </c>
      <c r="AA48" s="150">
        <f t="shared" si="163"/>
        <v>44185.72032</v>
      </c>
      <c r="AB48" s="150">
        <f t="shared" si="172"/>
        <v>46947.327839999998</v>
      </c>
      <c r="AC48" s="150">
        <f t="shared" si="173"/>
        <v>45566.524080000003</v>
      </c>
      <c r="AD48" s="150">
        <f t="shared" si="166"/>
        <v>14611.679999999998</v>
      </c>
      <c r="AE48" s="150">
        <f t="shared" si="167"/>
        <v>17534.016</v>
      </c>
      <c r="AF48" s="150">
        <f t="shared" si="174"/>
        <v>6627.8580479999991</v>
      </c>
      <c r="AG48" s="150">
        <f t="shared" si="175"/>
        <v>7953.4296575999997</v>
      </c>
      <c r="AH48" s="76"/>
      <c r="AI48" s="76"/>
      <c r="AJ48" s="99">
        <f>ROUND(((3698.1*$M48^-0.381)*$M48),-3)</f>
        <v>19142000</v>
      </c>
      <c r="AK48" s="76"/>
      <c r="AL48" s="76"/>
      <c r="AM48" s="76">
        <f t="shared" si="147"/>
        <v>19142000</v>
      </c>
      <c r="AN48" s="108">
        <v>0.45</v>
      </c>
      <c r="AO48" s="76">
        <f>$AA$111*5</f>
        <v>1250000</v>
      </c>
      <c r="AP48" s="76"/>
      <c r="AQ48" s="76"/>
      <c r="AR48" s="76">
        <f t="shared" si="183"/>
        <v>28048800</v>
      </c>
      <c r="AS48" s="76"/>
      <c r="AT48" s="76"/>
      <c r="AU48" s="148">
        <f>ROUND(((626.43*$M48^-0.421)*$M48),-3)</f>
        <v>1866000</v>
      </c>
      <c r="AV48" s="76"/>
      <c r="AW48" s="76"/>
      <c r="AX48" s="76">
        <f t="shared" si="148"/>
        <v>1866000</v>
      </c>
      <c r="AY48" s="51">
        <v>0</v>
      </c>
      <c r="AZ48" s="51">
        <v>0</v>
      </c>
      <c r="BA48" s="51">
        <v>0</v>
      </c>
      <c r="BB48" s="338"/>
      <c r="BC48" s="76"/>
      <c r="BD48" s="76"/>
      <c r="BE48" s="76">
        <f t="shared" si="48"/>
        <v>28048800</v>
      </c>
      <c r="BF48" s="76"/>
      <c r="BG48" s="76"/>
      <c r="BH48" s="76">
        <f t="shared" si="6"/>
        <v>1866000</v>
      </c>
      <c r="BI48" s="4">
        <v>10</v>
      </c>
      <c r="BJ48" s="76">
        <v>7000000</v>
      </c>
      <c r="BK48" s="76">
        <f t="shared" si="160"/>
        <v>14000000</v>
      </c>
      <c r="BL48" s="116">
        <f t="shared" si="153"/>
        <v>6935619.1548963198</v>
      </c>
      <c r="BM48" s="4">
        <f t="shared" si="168"/>
        <v>2009105.9999999998</v>
      </c>
      <c r="BN48" s="4">
        <f t="shared" si="65"/>
        <v>911330.48159999994</v>
      </c>
      <c r="BO48" s="4">
        <f t="shared" si="157"/>
        <v>321456.95999999996</v>
      </c>
      <c r="BP48" s="4">
        <f t="shared" si="66"/>
        <v>145812.877056</v>
      </c>
      <c r="BQ48" s="335">
        <f t="shared" si="169"/>
        <v>1318475.8125</v>
      </c>
      <c r="BR48" s="335">
        <f t="shared" si="170"/>
        <v>598060.62855000002</v>
      </c>
      <c r="BS48" s="335">
        <f t="shared" si="158"/>
        <v>241092.71999999997</v>
      </c>
      <c r="BT48" s="335">
        <f t="shared" si="159"/>
        <v>109359.657792</v>
      </c>
      <c r="BU48" s="76" t="str">
        <f t="shared" si="154"/>
        <v>N/A</v>
      </c>
      <c r="BV48" s="116">
        <f t="shared" si="180"/>
        <v>90.35377675314777</v>
      </c>
      <c r="BW48" s="88">
        <f t="shared" si="17"/>
        <v>17.412928513924264</v>
      </c>
      <c r="BX48" s="89">
        <f t="shared" si="18"/>
        <v>11.57454335370041</v>
      </c>
      <c r="BY48" s="89">
        <f t="shared" si="19"/>
        <v>28.987471867624674</v>
      </c>
      <c r="BZ48" s="89">
        <f t="shared" si="20"/>
        <v>38.388290374612573</v>
      </c>
      <c r="CA48" s="89">
        <f t="shared" si="21"/>
        <v>25.517070885582914</v>
      </c>
      <c r="CB48" s="89">
        <f t="shared" si="22"/>
        <v>63.905361260195491</v>
      </c>
      <c r="CC48" s="89">
        <f t="shared" si="23"/>
        <v>108.83080321202665</v>
      </c>
      <c r="CD48" s="89">
        <f t="shared" si="24"/>
        <v>72.340895960627563</v>
      </c>
      <c r="CE48" s="89">
        <f t="shared" si="25"/>
        <v>181.1716991726542</v>
      </c>
      <c r="CF48" s="89">
        <f t="shared" si="26"/>
        <v>239.92681484132856</v>
      </c>
      <c r="CG48" s="89">
        <f t="shared" si="27"/>
        <v>159.4816930348932</v>
      </c>
      <c r="CH48" s="89">
        <f t="shared" si="28"/>
        <v>399.40850787622173</v>
      </c>
      <c r="CI48" s="41">
        <f t="shared" si="184"/>
        <v>0</v>
      </c>
      <c r="CJ48" s="41">
        <f t="shared" si="185"/>
        <v>0</v>
      </c>
      <c r="CK48" s="41">
        <f t="shared" si="186"/>
        <v>0</v>
      </c>
      <c r="CL48" s="41">
        <f t="shared" si="187"/>
        <v>0</v>
      </c>
      <c r="CM48" s="359">
        <f t="shared" si="29"/>
        <v>26.53398630693221</v>
      </c>
      <c r="CN48" s="210">
        <f t="shared" si="30"/>
        <v>17.637399396114908</v>
      </c>
      <c r="CO48" s="210">
        <f t="shared" si="51"/>
        <v>44.171385703047122</v>
      </c>
      <c r="CP48" s="210">
        <f t="shared" si="32"/>
        <v>58.496442475600105</v>
      </c>
      <c r="CQ48" s="210">
        <f t="shared" si="33"/>
        <v>38.883155635173956</v>
      </c>
      <c r="CR48" s="210">
        <f t="shared" si="52"/>
        <v>97.379598110774054</v>
      </c>
      <c r="CS48" s="210">
        <f t="shared" si="35"/>
        <v>145.10773761603554</v>
      </c>
      <c r="CT48" s="210">
        <f t="shared" si="36"/>
        <v>96.454527947503422</v>
      </c>
      <c r="CU48" s="210">
        <f t="shared" si="53"/>
        <v>241.56226556353897</v>
      </c>
      <c r="CV48" s="210">
        <f t="shared" si="38"/>
        <v>319.90241978843812</v>
      </c>
      <c r="CW48" s="210">
        <f t="shared" si="39"/>
        <v>212.6422573798576</v>
      </c>
      <c r="CX48" s="210">
        <f t="shared" si="54"/>
        <v>532.54467716829572</v>
      </c>
      <c r="CY48" s="299" t="s">
        <v>320</v>
      </c>
      <c r="CZ48" s="298" t="s">
        <v>56</v>
      </c>
      <c r="DA48" s="298" t="s">
        <v>57</v>
      </c>
      <c r="DB48" s="298" t="s">
        <v>345</v>
      </c>
      <c r="DC48" s="298" t="s">
        <v>57</v>
      </c>
      <c r="DD48" s="279" t="s">
        <v>154</v>
      </c>
      <c r="DE48" s="279" t="s">
        <v>155</v>
      </c>
      <c r="DF48" s="298" t="s">
        <v>56</v>
      </c>
      <c r="DG48" s="298" t="s">
        <v>56</v>
      </c>
      <c r="DH48" s="298" t="s">
        <v>57</v>
      </c>
      <c r="DI48" s="298" t="s">
        <v>57</v>
      </c>
      <c r="DJ48" s="280" t="s">
        <v>77</v>
      </c>
      <c r="DK48" s="280" t="s">
        <v>77</v>
      </c>
      <c r="DL48" s="280" t="s">
        <v>77</v>
      </c>
      <c r="DM48" s="279" t="s">
        <v>371</v>
      </c>
      <c r="DN48" s="280" t="s">
        <v>116</v>
      </c>
      <c r="DO48" s="366" t="s">
        <v>536</v>
      </c>
      <c r="DP48" s="279"/>
      <c r="DQ48" s="111"/>
      <c r="DR48" s="28"/>
      <c r="DS48" s="28"/>
      <c r="DT48" s="28"/>
      <c r="DU48" s="28"/>
      <c r="DV48" s="28"/>
      <c r="DW48" s="28"/>
      <c r="DX48" s="28"/>
      <c r="DY48" s="28"/>
    </row>
    <row r="49" spans="1:129" ht="169.5" customHeight="1" x14ac:dyDescent="0.2">
      <c r="A49" s="527"/>
      <c r="B49" s="294" t="s">
        <v>32</v>
      </c>
      <c r="C49" s="84"/>
      <c r="D49" s="241">
        <v>606</v>
      </c>
      <c r="E49" s="279" t="s">
        <v>434</v>
      </c>
      <c r="F49" s="280" t="s">
        <v>105</v>
      </c>
      <c r="G49" s="280" t="s">
        <v>106</v>
      </c>
      <c r="H49" s="286" t="s">
        <v>134</v>
      </c>
      <c r="I49" s="285" t="s">
        <v>497</v>
      </c>
      <c r="J49" s="279" t="s">
        <v>153</v>
      </c>
      <c r="K49" s="265" t="s">
        <v>684</v>
      </c>
      <c r="L49" s="280" t="s">
        <v>11</v>
      </c>
      <c r="M49" s="320">
        <v>1000000</v>
      </c>
      <c r="N49" s="11" t="s">
        <v>77</v>
      </c>
      <c r="O49" s="11" t="s">
        <v>77</v>
      </c>
      <c r="P49" s="316">
        <f t="shared" si="171"/>
        <v>6250</v>
      </c>
      <c r="Q49" s="103">
        <f t="shared" si="181"/>
        <v>40</v>
      </c>
      <c r="R49" s="103">
        <f t="shared" si="182"/>
        <v>8</v>
      </c>
      <c r="S49" s="335">
        <v>86</v>
      </c>
      <c r="T49" s="335">
        <v>90</v>
      </c>
      <c r="U49" s="4">
        <v>60</v>
      </c>
      <c r="V49" s="4">
        <v>72</v>
      </c>
      <c r="W49" s="194">
        <f t="shared" si="42"/>
        <v>0.72136054421768725</v>
      </c>
      <c r="X49" s="51" t="s">
        <v>387</v>
      </c>
      <c r="Y49" s="150">
        <f t="shared" si="161"/>
        <v>104717.03999999998</v>
      </c>
      <c r="Z49" s="150">
        <f t="shared" si="162"/>
        <v>109587.6</v>
      </c>
      <c r="AA49" s="150">
        <f t="shared" si="163"/>
        <v>47499.64934399999</v>
      </c>
      <c r="AB49" s="150">
        <f t="shared" si="172"/>
        <v>49708.935360000003</v>
      </c>
      <c r="AC49" s="150">
        <f t="shared" si="173"/>
        <v>48604.292351999997</v>
      </c>
      <c r="AD49" s="150">
        <f t="shared" si="166"/>
        <v>14611.679999999998</v>
      </c>
      <c r="AE49" s="150">
        <f t="shared" si="167"/>
        <v>17534.016</v>
      </c>
      <c r="AF49" s="150">
        <f t="shared" si="174"/>
        <v>6627.8580479999991</v>
      </c>
      <c r="AG49" s="150">
        <f t="shared" si="175"/>
        <v>7953.4296575999997</v>
      </c>
      <c r="AH49" s="76"/>
      <c r="AI49" s="76"/>
      <c r="AJ49" s="99">
        <f>ROUND((((3698.1*$M49^-0.381)*$M49)*1.2),-3)</f>
        <v>22970000</v>
      </c>
      <c r="AK49" s="76"/>
      <c r="AL49" s="76"/>
      <c r="AM49" s="76">
        <f t="shared" si="147"/>
        <v>22970000</v>
      </c>
      <c r="AN49" s="108">
        <v>0.4</v>
      </c>
      <c r="AO49" s="76">
        <f>$AA$111*5</f>
        <v>1250000</v>
      </c>
      <c r="AP49" s="76"/>
      <c r="AQ49" s="76"/>
      <c r="AR49" s="76">
        <f t="shared" si="183"/>
        <v>33407999.999999996</v>
      </c>
      <c r="AS49" s="76"/>
      <c r="AT49" s="76"/>
      <c r="AU49" s="148">
        <f>ROUND((((626.43*$M49^-0.421)*$M49)*1.2),-3)</f>
        <v>2239000</v>
      </c>
      <c r="AV49" s="76"/>
      <c r="AW49" s="76"/>
      <c r="AX49" s="76">
        <f t="shared" si="148"/>
        <v>2239000</v>
      </c>
      <c r="AY49" s="51">
        <v>0</v>
      </c>
      <c r="AZ49" s="51">
        <v>0</v>
      </c>
      <c r="BA49" s="51">
        <v>0</v>
      </c>
      <c r="BB49" s="338"/>
      <c r="BC49" s="76"/>
      <c r="BD49" s="76"/>
      <c r="BE49" s="76">
        <f t="shared" si="48"/>
        <v>33407999.999999996</v>
      </c>
      <c r="BF49" s="76"/>
      <c r="BG49" s="76"/>
      <c r="BH49" s="76">
        <f t="shared" si="6"/>
        <v>2239000</v>
      </c>
      <c r="BI49" s="4">
        <v>10</v>
      </c>
      <c r="BJ49" s="76">
        <v>8000000</v>
      </c>
      <c r="BK49" s="76">
        <f t="shared" si="160"/>
        <v>16000000</v>
      </c>
      <c r="BL49" s="116">
        <f t="shared" si="153"/>
        <v>7926421.891310079</v>
      </c>
      <c r="BM49" s="4">
        <f t="shared" si="168"/>
        <v>2143046.4</v>
      </c>
      <c r="BN49" s="4">
        <f t="shared" si="65"/>
        <v>972085.84704000002</v>
      </c>
      <c r="BO49" s="4">
        <f t="shared" si="157"/>
        <v>321456.95999999996</v>
      </c>
      <c r="BP49" s="4">
        <f t="shared" si="66"/>
        <v>145812.877056</v>
      </c>
      <c r="BQ49" s="335">
        <f t="shared" si="169"/>
        <v>1406374.2</v>
      </c>
      <c r="BR49" s="335">
        <f t="shared" si="170"/>
        <v>637931.33712000004</v>
      </c>
      <c r="BS49" s="335">
        <f t="shared" si="158"/>
        <v>241092.71999999997</v>
      </c>
      <c r="BT49" s="335">
        <f t="shared" si="159"/>
        <v>109359.657792</v>
      </c>
      <c r="BU49" s="76" t="str">
        <f t="shared" si="154"/>
        <v>N/A</v>
      </c>
      <c r="BV49" s="116">
        <f t="shared" si="180"/>
        <v>101.23015202152929</v>
      </c>
      <c r="BW49" s="88">
        <f t="shared" si="17"/>
        <v>19.287693393530851</v>
      </c>
      <c r="BX49" s="89">
        <f t="shared" si="18"/>
        <v>13.020198236000411</v>
      </c>
      <c r="BY49" s="89">
        <f t="shared" si="19"/>
        <v>32.307891629531262</v>
      </c>
      <c r="BZ49" s="89">
        <f t="shared" si="20"/>
        <v>42.521369915191471</v>
      </c>
      <c r="CA49" s="89">
        <f t="shared" si="21"/>
        <v>28.704140731923303</v>
      </c>
      <c r="CB49" s="89">
        <f t="shared" si="22"/>
        <v>71.225510647114774</v>
      </c>
      <c r="CC49" s="89">
        <f t="shared" si="23"/>
        <v>128.58462262353902</v>
      </c>
      <c r="CD49" s="89">
        <f t="shared" si="24"/>
        <v>86.801321573336082</v>
      </c>
      <c r="CE49" s="89">
        <f t="shared" si="25"/>
        <v>215.3859441968751</v>
      </c>
      <c r="CF49" s="89">
        <f t="shared" si="26"/>
        <v>283.47579943460983</v>
      </c>
      <c r="CG49" s="89">
        <f t="shared" si="27"/>
        <v>191.36093821282202</v>
      </c>
      <c r="CH49" s="89">
        <f t="shared" si="28"/>
        <v>474.83673764743185</v>
      </c>
      <c r="CI49" s="41">
        <f t="shared" si="184"/>
        <v>0</v>
      </c>
      <c r="CJ49" s="41">
        <f t="shared" si="185"/>
        <v>0</v>
      </c>
      <c r="CK49" s="41">
        <f t="shared" si="186"/>
        <v>0</v>
      </c>
      <c r="CL49" s="41">
        <f t="shared" si="187"/>
        <v>0</v>
      </c>
      <c r="CM49" s="359">
        <f t="shared" si="29"/>
        <v>29.390770885380345</v>
      </c>
      <c r="CN49" s="210">
        <f t="shared" si="30"/>
        <v>19.840302073905388</v>
      </c>
      <c r="CO49" s="210">
        <f t="shared" si="51"/>
        <v>49.231072959285733</v>
      </c>
      <c r="CP49" s="210">
        <f t="shared" si="32"/>
        <v>64.794468442196518</v>
      </c>
      <c r="CQ49" s="210">
        <f t="shared" si="33"/>
        <v>43.739643020073601</v>
      </c>
      <c r="CR49" s="210">
        <f t="shared" si="52"/>
        <v>108.53411146227012</v>
      </c>
      <c r="CS49" s="210">
        <f t="shared" si="35"/>
        <v>171.44616349805202</v>
      </c>
      <c r="CT49" s="210">
        <f t="shared" si="36"/>
        <v>115.73509543111477</v>
      </c>
      <c r="CU49" s="210">
        <f t="shared" si="53"/>
        <v>287.1812589291668</v>
      </c>
      <c r="CV49" s="210">
        <f t="shared" si="38"/>
        <v>377.96773257947973</v>
      </c>
      <c r="CW49" s="210">
        <f t="shared" si="39"/>
        <v>255.14791761709603</v>
      </c>
      <c r="CX49" s="210">
        <f t="shared" si="54"/>
        <v>633.11565019657576</v>
      </c>
      <c r="CY49" s="299" t="s">
        <v>320</v>
      </c>
      <c r="CZ49" s="298" t="s">
        <v>56</v>
      </c>
      <c r="DA49" s="298" t="s">
        <v>57</v>
      </c>
      <c r="DB49" s="298" t="s">
        <v>345</v>
      </c>
      <c r="DC49" s="298" t="s">
        <v>57</v>
      </c>
      <c r="DD49" s="279" t="s">
        <v>154</v>
      </c>
      <c r="DE49" s="279" t="s">
        <v>156</v>
      </c>
      <c r="DF49" s="298" t="s">
        <v>56</v>
      </c>
      <c r="DG49" s="298" t="s">
        <v>56</v>
      </c>
      <c r="DH49" s="298" t="s">
        <v>57</v>
      </c>
      <c r="DI49" s="298" t="s">
        <v>57</v>
      </c>
      <c r="DJ49" s="280" t="s">
        <v>77</v>
      </c>
      <c r="DK49" s="280" t="s">
        <v>77</v>
      </c>
      <c r="DL49" s="280" t="s">
        <v>77</v>
      </c>
      <c r="DM49" s="279" t="s">
        <v>371</v>
      </c>
      <c r="DN49" s="280" t="s">
        <v>116</v>
      </c>
      <c r="DO49" s="366" t="s">
        <v>535</v>
      </c>
      <c r="DP49" s="279" t="s">
        <v>397</v>
      </c>
      <c r="DQ49" s="111"/>
      <c r="DR49" s="28"/>
      <c r="DS49" s="28"/>
      <c r="DT49" s="28"/>
      <c r="DU49" s="28"/>
      <c r="DV49" s="28"/>
      <c r="DW49" s="28"/>
      <c r="DX49" s="28"/>
      <c r="DY49" s="28"/>
    </row>
    <row r="50" spans="1:129" ht="165" customHeight="1" x14ac:dyDescent="0.2">
      <c r="A50" s="527"/>
      <c r="B50" s="294" t="s">
        <v>33</v>
      </c>
      <c r="C50" s="84"/>
      <c r="D50" s="241">
        <v>607</v>
      </c>
      <c r="E50" s="279" t="s">
        <v>435</v>
      </c>
      <c r="F50" s="280" t="s">
        <v>105</v>
      </c>
      <c r="G50" s="280" t="s">
        <v>106</v>
      </c>
      <c r="H50" s="286" t="s">
        <v>134</v>
      </c>
      <c r="I50" s="285" t="s">
        <v>497</v>
      </c>
      <c r="J50" s="279" t="s">
        <v>153</v>
      </c>
      <c r="K50" s="265" t="s">
        <v>685</v>
      </c>
      <c r="L50" s="280" t="s">
        <v>11</v>
      </c>
      <c r="M50" s="320">
        <v>100000</v>
      </c>
      <c r="N50" s="11" t="s">
        <v>77</v>
      </c>
      <c r="O50" s="11" t="s">
        <v>77</v>
      </c>
      <c r="P50" s="316">
        <f t="shared" si="171"/>
        <v>625</v>
      </c>
      <c r="Q50" s="103">
        <f t="shared" si="181"/>
        <v>40</v>
      </c>
      <c r="R50" s="103">
        <f t="shared" si="182"/>
        <v>8</v>
      </c>
      <c r="S50" s="4">
        <v>72</v>
      </c>
      <c r="T50" s="4">
        <v>78</v>
      </c>
      <c r="U50" s="4">
        <v>60</v>
      </c>
      <c r="V50" s="4">
        <v>72</v>
      </c>
      <c r="W50" s="194">
        <f t="shared" si="42"/>
        <v>0.41950113378684806</v>
      </c>
      <c r="X50" s="51" t="s">
        <v>387</v>
      </c>
      <c r="Y50" s="150">
        <f t="shared" si="161"/>
        <v>8767.0079999999998</v>
      </c>
      <c r="Z50" s="150">
        <f t="shared" si="162"/>
        <v>9497.5920000000024</v>
      </c>
      <c r="AA50" s="150">
        <f t="shared" si="163"/>
        <v>3976.7148287999999</v>
      </c>
      <c r="AB50" s="150">
        <f t="shared" si="172"/>
        <v>4308.1077312000007</v>
      </c>
      <c r="AC50" s="150">
        <f t="shared" si="173"/>
        <v>4142.4112800000003</v>
      </c>
      <c r="AD50" s="150">
        <f t="shared" si="166"/>
        <v>1461.1680000000001</v>
      </c>
      <c r="AE50" s="150">
        <f t="shared" si="167"/>
        <v>1753.4016000000001</v>
      </c>
      <c r="AF50" s="150">
        <f t="shared" si="174"/>
        <v>662.78580480000005</v>
      </c>
      <c r="AG50" s="150">
        <f t="shared" si="175"/>
        <v>795.34296576000008</v>
      </c>
      <c r="AH50" s="76"/>
      <c r="AI50" s="76"/>
      <c r="AJ50" s="99">
        <f>ROUND(((3698.1*$M50^-0.381)*$M50),-3)</f>
        <v>4602000</v>
      </c>
      <c r="AK50" s="76"/>
      <c r="AL50" s="76"/>
      <c r="AM50" s="76">
        <f t="shared" si="147"/>
        <v>4602000</v>
      </c>
      <c r="AN50" s="108">
        <v>0.45</v>
      </c>
      <c r="AO50" s="76">
        <f>$AA$111*2.5</f>
        <v>625000</v>
      </c>
      <c r="AP50" s="76"/>
      <c r="AQ50" s="76"/>
      <c r="AR50" s="76">
        <f t="shared" si="183"/>
        <v>7067800</v>
      </c>
      <c r="AS50" s="76"/>
      <c r="AT50" s="76"/>
      <c r="AU50" s="148">
        <f>ROUND(((626.43*$M50^-0.421)*$M50),-3)</f>
        <v>492000</v>
      </c>
      <c r="AV50" s="76"/>
      <c r="AW50" s="76"/>
      <c r="AX50" s="76">
        <f t="shared" si="148"/>
        <v>492000</v>
      </c>
      <c r="AY50" s="51">
        <v>0</v>
      </c>
      <c r="AZ50" s="51">
        <v>0</v>
      </c>
      <c r="BA50" s="51">
        <v>0</v>
      </c>
      <c r="BB50" s="338"/>
      <c r="BC50" s="76"/>
      <c r="BD50" s="76"/>
      <c r="BE50" s="76">
        <f t="shared" si="48"/>
        <v>7067800</v>
      </c>
      <c r="BF50" s="76"/>
      <c r="BG50" s="76"/>
      <c r="BH50" s="76">
        <f t="shared" si="6"/>
        <v>492000</v>
      </c>
      <c r="BI50" s="4">
        <v>10</v>
      </c>
      <c r="BJ50" s="76">
        <v>2000000</v>
      </c>
      <c r="BK50" s="76">
        <f t="shared" si="160"/>
        <v>4000000</v>
      </c>
      <c r="BL50" s="116">
        <f t="shared" si="153"/>
        <v>1981605.4728275198</v>
      </c>
      <c r="BM50" s="4">
        <f t="shared" si="168"/>
        <v>182646.00000000003</v>
      </c>
      <c r="BN50" s="4">
        <f t="shared" si="65"/>
        <v>82848.22560000002</v>
      </c>
      <c r="BO50" s="4">
        <f t="shared" si="157"/>
        <v>32145.696000000004</v>
      </c>
      <c r="BP50" s="4">
        <f t="shared" si="66"/>
        <v>14581.287705600002</v>
      </c>
      <c r="BQ50" s="335">
        <f t="shared" si="169"/>
        <v>119861.43750000003</v>
      </c>
      <c r="BR50" s="335">
        <f t="shared" si="170"/>
        <v>54369.148050000011</v>
      </c>
      <c r="BS50" s="335">
        <f t="shared" si="158"/>
        <v>24109.272000000004</v>
      </c>
      <c r="BT50" s="335">
        <f t="shared" si="159"/>
        <v>10935.965779200002</v>
      </c>
      <c r="BU50" s="76" t="str">
        <f t="shared" si="154"/>
        <v>N/A</v>
      </c>
      <c r="BV50" s="116">
        <f t="shared" si="180"/>
        <v>255.70593881954014</v>
      </c>
      <c r="BW50" s="88">
        <f t="shared" si="17"/>
        <v>49.546146495557082</v>
      </c>
      <c r="BX50" s="89">
        <f t="shared" si="18"/>
        <v>33.569897443851339</v>
      </c>
      <c r="BY50" s="89">
        <f t="shared" si="19"/>
        <v>83.116043939408428</v>
      </c>
      <c r="BZ50" s="89">
        <f t="shared" si="20"/>
        <v>109.2287180237149</v>
      </c>
      <c r="CA50" s="89">
        <f t="shared" si="21"/>
        <v>74.007710414134337</v>
      </c>
      <c r="CB50" s="89">
        <f t="shared" si="22"/>
        <v>183.23642843784924</v>
      </c>
      <c r="CC50" s="89">
        <f t="shared" si="23"/>
        <v>281.51219599748345</v>
      </c>
      <c r="CD50" s="89">
        <f t="shared" si="24"/>
        <v>190.73805365824626</v>
      </c>
      <c r="CE50" s="89">
        <f t="shared" si="25"/>
        <v>472.2502496557297</v>
      </c>
      <c r="CF50" s="89">
        <f t="shared" si="26"/>
        <v>620.61771604383478</v>
      </c>
      <c r="CG50" s="89">
        <f t="shared" si="27"/>
        <v>420.49835462576334</v>
      </c>
      <c r="CH50" s="89">
        <f t="shared" si="28"/>
        <v>1041.1160706695982</v>
      </c>
      <c r="CI50" s="41">
        <f t="shared" si="184"/>
        <v>0</v>
      </c>
      <c r="CJ50" s="41">
        <f t="shared" si="185"/>
        <v>0</v>
      </c>
      <c r="CK50" s="41">
        <f t="shared" si="186"/>
        <v>0</v>
      </c>
      <c r="CL50" s="41">
        <f t="shared" si="187"/>
        <v>0</v>
      </c>
      <c r="CM50" s="359">
        <f t="shared" si="29"/>
        <v>75.498889897991731</v>
      </c>
      <c r="CN50" s="210">
        <f t="shared" si="30"/>
        <v>51.154129438249655</v>
      </c>
      <c r="CO50" s="210">
        <f t="shared" si="51"/>
        <v>126.65301933624139</v>
      </c>
      <c r="CP50" s="210">
        <f t="shared" si="32"/>
        <v>166.44376079804175</v>
      </c>
      <c r="CQ50" s="210">
        <f t="shared" si="33"/>
        <v>112.77365396439519</v>
      </c>
      <c r="CR50" s="210">
        <f t="shared" si="52"/>
        <v>279.21741476243693</v>
      </c>
      <c r="CS50" s="210">
        <f t="shared" si="35"/>
        <v>375.34959466331122</v>
      </c>
      <c r="CT50" s="210">
        <f t="shared" si="36"/>
        <v>254.31740487766166</v>
      </c>
      <c r="CU50" s="210">
        <f t="shared" si="53"/>
        <v>629.66699954097294</v>
      </c>
      <c r="CV50" s="210">
        <f t="shared" si="38"/>
        <v>827.49028805844625</v>
      </c>
      <c r="CW50" s="210">
        <f t="shared" si="39"/>
        <v>560.66447283435116</v>
      </c>
      <c r="CX50" s="210">
        <f t="shared" si="54"/>
        <v>1388.1547608927974</v>
      </c>
      <c r="CY50" s="299" t="s">
        <v>320</v>
      </c>
      <c r="CZ50" s="298" t="s">
        <v>56</v>
      </c>
      <c r="DA50" s="298" t="s">
        <v>57</v>
      </c>
      <c r="DB50" s="298" t="s">
        <v>345</v>
      </c>
      <c r="DC50" s="298" t="s">
        <v>57</v>
      </c>
      <c r="DD50" s="279" t="s">
        <v>154</v>
      </c>
      <c r="DE50" s="279" t="s">
        <v>155</v>
      </c>
      <c r="DF50" s="298" t="s">
        <v>56</v>
      </c>
      <c r="DG50" s="298" t="s">
        <v>56</v>
      </c>
      <c r="DH50" s="298" t="s">
        <v>57</v>
      </c>
      <c r="DI50" s="298" t="s">
        <v>57</v>
      </c>
      <c r="DJ50" s="280" t="s">
        <v>77</v>
      </c>
      <c r="DK50" s="280" t="s">
        <v>77</v>
      </c>
      <c r="DL50" s="280" t="s">
        <v>77</v>
      </c>
      <c r="DM50" s="279" t="s">
        <v>371</v>
      </c>
      <c r="DN50" s="280" t="s">
        <v>116</v>
      </c>
      <c r="DO50" s="366" t="s">
        <v>539</v>
      </c>
      <c r="DP50" s="279" t="s">
        <v>145</v>
      </c>
      <c r="DQ50" s="111"/>
      <c r="DR50" s="28"/>
      <c r="DS50" s="28"/>
      <c r="DT50" s="28"/>
      <c r="DU50" s="28"/>
      <c r="DV50" s="28"/>
      <c r="DW50" s="28"/>
      <c r="DX50" s="28"/>
      <c r="DY50" s="28"/>
    </row>
    <row r="51" spans="1:129" ht="213.75" customHeight="1" x14ac:dyDescent="0.2">
      <c r="A51" s="529"/>
      <c r="B51" s="294" t="s">
        <v>34</v>
      </c>
      <c r="C51" s="84"/>
      <c r="D51" s="241">
        <v>608</v>
      </c>
      <c r="E51" s="279" t="s">
        <v>436</v>
      </c>
      <c r="F51" s="280" t="s">
        <v>105</v>
      </c>
      <c r="G51" s="280" t="s">
        <v>106</v>
      </c>
      <c r="H51" s="286" t="s">
        <v>134</v>
      </c>
      <c r="I51" s="285" t="s">
        <v>497</v>
      </c>
      <c r="J51" s="279" t="s">
        <v>153</v>
      </c>
      <c r="K51" s="265" t="s">
        <v>686</v>
      </c>
      <c r="L51" s="280" t="s">
        <v>11</v>
      </c>
      <c r="M51" s="320">
        <v>100000</v>
      </c>
      <c r="N51" s="11" t="s">
        <v>77</v>
      </c>
      <c r="O51" s="11" t="s">
        <v>77</v>
      </c>
      <c r="P51" s="316">
        <f t="shared" si="171"/>
        <v>625</v>
      </c>
      <c r="Q51" s="103">
        <f t="shared" si="181"/>
        <v>40</v>
      </c>
      <c r="R51" s="103">
        <f t="shared" si="182"/>
        <v>8</v>
      </c>
      <c r="S51" s="4">
        <v>75</v>
      </c>
      <c r="T51" s="4">
        <v>85</v>
      </c>
      <c r="U51" s="4">
        <v>60</v>
      </c>
      <c r="V51" s="4">
        <v>72</v>
      </c>
      <c r="W51" s="194">
        <f t="shared" si="42"/>
        <v>0.53560090702947849</v>
      </c>
      <c r="X51" s="51" t="s">
        <v>387</v>
      </c>
      <c r="Y51" s="150">
        <f t="shared" si="161"/>
        <v>9132.3000000000011</v>
      </c>
      <c r="Z51" s="150">
        <f t="shared" si="162"/>
        <v>10349.94</v>
      </c>
      <c r="AA51" s="150">
        <f t="shared" si="163"/>
        <v>4142.4112800000003</v>
      </c>
      <c r="AB51" s="150">
        <f t="shared" si="172"/>
        <v>4694.7327839999998</v>
      </c>
      <c r="AC51" s="150">
        <f t="shared" si="173"/>
        <v>4418.572032</v>
      </c>
      <c r="AD51" s="150">
        <f t="shared" si="166"/>
        <v>1461.1680000000001</v>
      </c>
      <c r="AE51" s="150">
        <f t="shared" si="167"/>
        <v>1753.4016000000001</v>
      </c>
      <c r="AF51" s="150">
        <f t="shared" si="174"/>
        <v>662.78580480000005</v>
      </c>
      <c r="AG51" s="150">
        <f t="shared" si="175"/>
        <v>795.34296576000008</v>
      </c>
      <c r="AH51" s="76"/>
      <c r="AI51" s="76"/>
      <c r="AJ51" s="99">
        <f>ROUND((((3698.1*$M51^-0.381)*$M51)*1.2),-3)</f>
        <v>5523000</v>
      </c>
      <c r="AK51" s="76"/>
      <c r="AL51" s="76"/>
      <c r="AM51" s="76">
        <f t="shared" si="147"/>
        <v>5523000</v>
      </c>
      <c r="AN51" s="108">
        <v>0.4</v>
      </c>
      <c r="AO51" s="76">
        <f>$AA$111*2.5</f>
        <v>625000</v>
      </c>
      <c r="AP51" s="76"/>
      <c r="AQ51" s="76"/>
      <c r="AR51" s="76">
        <f t="shared" si="183"/>
        <v>8357199.9999999991</v>
      </c>
      <c r="AS51" s="76"/>
      <c r="AT51" s="76"/>
      <c r="AU51" s="148">
        <f>ROUND((((626.43*$M51^-0.421)*$M51)*1.2),-3)</f>
        <v>590000</v>
      </c>
      <c r="AV51" s="76"/>
      <c r="AW51" s="76"/>
      <c r="AX51" s="76">
        <f t="shared" si="148"/>
        <v>590000</v>
      </c>
      <c r="AY51" s="51">
        <v>0</v>
      </c>
      <c r="AZ51" s="51">
        <v>0</v>
      </c>
      <c r="BA51" s="51">
        <v>0</v>
      </c>
      <c r="BB51" s="338"/>
      <c r="BC51" s="76"/>
      <c r="BD51" s="76"/>
      <c r="BE51" s="76">
        <f t="shared" si="48"/>
        <v>8357199.9999999991</v>
      </c>
      <c r="BF51" s="76"/>
      <c r="BG51" s="76"/>
      <c r="BH51" s="76">
        <f t="shared" si="6"/>
        <v>590000</v>
      </c>
      <c r="BI51" s="4">
        <v>10</v>
      </c>
      <c r="BJ51" s="76">
        <v>2500000</v>
      </c>
      <c r="BK51" s="76">
        <f t="shared" si="160"/>
        <v>5000000</v>
      </c>
      <c r="BL51" s="116">
        <f t="shared" si="153"/>
        <v>2477006.8410343998</v>
      </c>
      <c r="BM51" s="4">
        <f t="shared" si="168"/>
        <v>194822.40000000002</v>
      </c>
      <c r="BN51" s="4">
        <f t="shared" si="65"/>
        <v>88371.440640000015</v>
      </c>
      <c r="BO51" s="4">
        <f t="shared" si="157"/>
        <v>32145.696000000004</v>
      </c>
      <c r="BP51" s="4">
        <f t="shared" si="66"/>
        <v>14581.287705600002</v>
      </c>
      <c r="BQ51" s="335">
        <f t="shared" si="169"/>
        <v>127852.20000000001</v>
      </c>
      <c r="BR51" s="335">
        <f t="shared" si="170"/>
        <v>57993.757920000004</v>
      </c>
      <c r="BS51" s="335">
        <f t="shared" si="158"/>
        <v>24109.272000000004</v>
      </c>
      <c r="BT51" s="335">
        <f t="shared" si="159"/>
        <v>10935.965779200002</v>
      </c>
      <c r="BU51" s="76" t="str">
        <f t="shared" si="154"/>
        <v>N/A</v>
      </c>
      <c r="BV51" s="116">
        <f t="shared" si="180"/>
        <v>285.32347153472148</v>
      </c>
      <c r="BW51" s="88">
        <f t="shared" si="17"/>
        <v>55.610683581735969</v>
      </c>
      <c r="BX51" s="89">
        <f t="shared" si="18"/>
        <v>37.740547812256651</v>
      </c>
      <c r="BY51" s="89">
        <f t="shared" si="19"/>
        <v>93.35123139399262</v>
      </c>
      <c r="BZ51" s="89">
        <f t="shared" si="20"/>
        <v>122.59850877807753</v>
      </c>
      <c r="CA51" s="89">
        <f t="shared" si="21"/>
        <v>83.202265900036707</v>
      </c>
      <c r="CB51" s="89">
        <f t="shared" si="22"/>
        <v>205.80077467811424</v>
      </c>
      <c r="CC51" s="89">
        <f t="shared" si="23"/>
        <v>337.03444594991498</v>
      </c>
      <c r="CD51" s="89">
        <f t="shared" si="24"/>
        <v>228.73059280155547</v>
      </c>
      <c r="CE51" s="89">
        <f t="shared" si="25"/>
        <v>565.76503875147046</v>
      </c>
      <c r="CF51" s="89">
        <f t="shared" si="26"/>
        <v>743.02126532168211</v>
      </c>
      <c r="CG51" s="89">
        <f t="shared" si="27"/>
        <v>504.25615696991952</v>
      </c>
      <c r="CH51" s="89">
        <f t="shared" si="28"/>
        <v>1247.2774222916016</v>
      </c>
      <c r="CI51" s="41">
        <f t="shared" si="184"/>
        <v>0</v>
      </c>
      <c r="CJ51" s="41">
        <f t="shared" si="185"/>
        <v>0</v>
      </c>
      <c r="CK51" s="41">
        <f t="shared" si="186"/>
        <v>0</v>
      </c>
      <c r="CL51" s="41">
        <f t="shared" si="187"/>
        <v>0</v>
      </c>
      <c r="CM51" s="359">
        <f t="shared" si="29"/>
        <v>84.7400892674072</v>
      </c>
      <c r="CN51" s="210">
        <f t="shared" si="30"/>
        <v>57.509406190105381</v>
      </c>
      <c r="CO51" s="210">
        <f t="shared" si="51"/>
        <v>142.24949545751258</v>
      </c>
      <c r="CP51" s="210">
        <f t="shared" si="32"/>
        <v>186.81677528088008</v>
      </c>
      <c r="CQ51" s="210">
        <f t="shared" si="33"/>
        <v>126.78440518100834</v>
      </c>
      <c r="CR51" s="210">
        <f t="shared" si="52"/>
        <v>313.60118046188842</v>
      </c>
      <c r="CS51" s="210">
        <f t="shared" si="35"/>
        <v>449.37926126655327</v>
      </c>
      <c r="CT51" s="210">
        <f t="shared" si="36"/>
        <v>304.97412373540726</v>
      </c>
      <c r="CU51" s="210">
        <f t="shared" si="53"/>
        <v>754.35338500196053</v>
      </c>
      <c r="CV51" s="210">
        <f t="shared" si="38"/>
        <v>990.6950204289094</v>
      </c>
      <c r="CW51" s="210">
        <f t="shared" si="39"/>
        <v>672.34154262655932</v>
      </c>
      <c r="CX51" s="210">
        <f t="shared" si="54"/>
        <v>1663.0365630554688</v>
      </c>
      <c r="CY51" s="299" t="s">
        <v>320</v>
      </c>
      <c r="CZ51" s="298" t="s">
        <v>56</v>
      </c>
      <c r="DA51" s="298" t="s">
        <v>57</v>
      </c>
      <c r="DB51" s="298" t="s">
        <v>345</v>
      </c>
      <c r="DC51" s="298" t="s">
        <v>57</v>
      </c>
      <c r="DD51" s="279" t="s">
        <v>154</v>
      </c>
      <c r="DE51" s="279" t="s">
        <v>155</v>
      </c>
      <c r="DF51" s="298" t="s">
        <v>56</v>
      </c>
      <c r="DG51" s="298" t="s">
        <v>56</v>
      </c>
      <c r="DH51" s="298" t="s">
        <v>57</v>
      </c>
      <c r="DI51" s="298" t="s">
        <v>57</v>
      </c>
      <c r="DJ51" s="280" t="s">
        <v>77</v>
      </c>
      <c r="DK51" s="280" t="s">
        <v>77</v>
      </c>
      <c r="DL51" s="280" t="s">
        <v>77</v>
      </c>
      <c r="DM51" s="279" t="s">
        <v>371</v>
      </c>
      <c r="DN51" s="280" t="s">
        <v>116</v>
      </c>
      <c r="DO51" s="279" t="s">
        <v>538</v>
      </c>
      <c r="DP51" s="279" t="s">
        <v>145</v>
      </c>
      <c r="DQ51" s="111"/>
      <c r="DR51" s="28"/>
      <c r="DS51" s="28"/>
      <c r="DT51" s="28"/>
      <c r="DU51" s="28"/>
      <c r="DV51" s="28"/>
      <c r="DW51" s="28"/>
      <c r="DX51" s="28"/>
      <c r="DY51" s="28"/>
    </row>
    <row r="52" spans="1:129" ht="135.75" customHeight="1" x14ac:dyDescent="0.2">
      <c r="A52" s="527" t="s">
        <v>35</v>
      </c>
      <c r="B52" s="94" t="s">
        <v>45</v>
      </c>
      <c r="C52" s="479"/>
      <c r="D52" s="259">
        <v>701</v>
      </c>
      <c r="E52" s="455" t="s">
        <v>437</v>
      </c>
      <c r="F52" s="483" t="s">
        <v>105</v>
      </c>
      <c r="G52" s="483" t="s">
        <v>77</v>
      </c>
      <c r="H52" s="483" t="s">
        <v>77</v>
      </c>
      <c r="I52" s="381" t="s">
        <v>607</v>
      </c>
      <c r="J52" s="455" t="s">
        <v>157</v>
      </c>
      <c r="K52" s="280"/>
      <c r="L52" s="280" t="s">
        <v>10</v>
      </c>
      <c r="M52" s="323">
        <v>1</v>
      </c>
      <c r="N52" s="11" t="s">
        <v>77</v>
      </c>
      <c r="O52" s="11" t="s">
        <v>77</v>
      </c>
      <c r="P52" s="316" t="s">
        <v>77</v>
      </c>
      <c r="Q52" s="3">
        <v>0</v>
      </c>
      <c r="R52" s="3">
        <v>0</v>
      </c>
      <c r="S52" s="4">
        <v>0</v>
      </c>
      <c r="T52" s="4">
        <v>0</v>
      </c>
      <c r="U52" s="4">
        <v>0</v>
      </c>
      <c r="V52" s="4">
        <v>0</v>
      </c>
      <c r="W52" s="51" t="s">
        <v>77</v>
      </c>
      <c r="X52" s="51" t="s">
        <v>77</v>
      </c>
      <c r="Y52" s="150">
        <f t="shared" si="161"/>
        <v>0</v>
      </c>
      <c r="Z52" s="150">
        <f t="shared" si="162"/>
        <v>0</v>
      </c>
      <c r="AA52" s="150">
        <f t="shared" si="163"/>
        <v>0</v>
      </c>
      <c r="AB52" s="150">
        <f t="shared" si="172"/>
        <v>0</v>
      </c>
      <c r="AC52" s="150">
        <f t="shared" si="173"/>
        <v>0</v>
      </c>
      <c r="AD52" s="150">
        <f t="shared" si="166"/>
        <v>0</v>
      </c>
      <c r="AE52" s="150">
        <f t="shared" si="167"/>
        <v>0</v>
      </c>
      <c r="AF52" s="150">
        <f t="shared" si="174"/>
        <v>0</v>
      </c>
      <c r="AG52" s="150">
        <f t="shared" si="175"/>
        <v>0</v>
      </c>
      <c r="AH52" s="76">
        <v>150</v>
      </c>
      <c r="AI52" s="76">
        <v>175</v>
      </c>
      <c r="AJ52" s="115">
        <f t="shared" ref="AJ52:AJ89" si="188">(AH52+AI52)/2</f>
        <v>162.5</v>
      </c>
      <c r="AK52" s="76">
        <f t="shared" ref="AK52:AK70" si="189">AH52*($AA$99/$AA$97)</f>
        <v>150</v>
      </c>
      <c r="AL52" s="76">
        <f t="shared" ref="AL52:AL70" si="190">AI52*($AA$99/$AA$97)</f>
        <v>175</v>
      </c>
      <c r="AM52" s="76">
        <f t="shared" si="147"/>
        <v>162.5</v>
      </c>
      <c r="AN52" s="108">
        <v>0.5</v>
      </c>
      <c r="AO52" s="76">
        <v>0</v>
      </c>
      <c r="AP52" s="76">
        <f t="shared" ref="AP52:AP61" si="191">(AK52*(1+$AN$2))+AO52</f>
        <v>210</v>
      </c>
      <c r="AQ52" s="76">
        <f t="shared" ref="AQ52:AQ61" si="192">(AL52*(1+$AN$2))+AO52</f>
        <v>244.99999999999997</v>
      </c>
      <c r="AR52" s="76">
        <f t="shared" si="60"/>
        <v>227.5</v>
      </c>
      <c r="AS52" s="116">
        <v>1.65</v>
      </c>
      <c r="AT52" s="116">
        <v>3</v>
      </c>
      <c r="AU52" s="76">
        <f t="shared" ref="AU52:AU89" si="193">(AS52+AT52)/2</f>
        <v>2.3250000000000002</v>
      </c>
      <c r="AV52" s="76">
        <f t="shared" ref="AV52:AV70" si="194">AS52*($AA$99/$AA$97)</f>
        <v>1.65</v>
      </c>
      <c r="AW52" s="76">
        <f t="shared" ref="AW52:AW70" si="195">AT52*($AA$99/$AA$97)</f>
        <v>3</v>
      </c>
      <c r="AX52" s="76">
        <f t="shared" si="148"/>
        <v>2.3250000000000002</v>
      </c>
      <c r="AY52" s="51">
        <v>0</v>
      </c>
      <c r="AZ52" s="51">
        <v>0</v>
      </c>
      <c r="BA52" s="51">
        <v>0</v>
      </c>
      <c r="BB52" s="338"/>
      <c r="BC52" s="76">
        <f t="shared" ref="BC52:BC62" si="196">AP52*(1+$AZ52)</f>
        <v>210</v>
      </c>
      <c r="BD52" s="76">
        <f t="shared" ref="BD52:BD62" si="197">AQ52*(1+$AZ52)</f>
        <v>244.99999999999997</v>
      </c>
      <c r="BE52" s="76">
        <f t="shared" si="48"/>
        <v>227.5</v>
      </c>
      <c r="BF52" s="76">
        <f t="shared" ref="BF52:BF89" si="198">AV52*(1+$BA52)</f>
        <v>1.65</v>
      </c>
      <c r="BG52" s="76">
        <f t="shared" ref="BG52:BH89" si="199">AW52*(1+$BA52)</f>
        <v>3</v>
      </c>
      <c r="BH52" s="76">
        <f t="shared" si="6"/>
        <v>2.3250000000000002</v>
      </c>
      <c r="BI52" s="4">
        <v>100</v>
      </c>
      <c r="BJ52" s="76">
        <v>0</v>
      </c>
      <c r="BK52" s="76">
        <f t="shared" si="160"/>
        <v>0</v>
      </c>
      <c r="BL52" s="116">
        <f t="shared" si="153"/>
        <v>0</v>
      </c>
      <c r="BM52" s="4">
        <f t="shared" si="168"/>
        <v>0</v>
      </c>
      <c r="BN52" s="4">
        <f t="shared" si="65"/>
        <v>0</v>
      </c>
      <c r="BO52" s="4">
        <f t="shared" si="157"/>
        <v>0</v>
      </c>
      <c r="BP52" s="4">
        <f t="shared" si="66"/>
        <v>0</v>
      </c>
      <c r="BQ52" s="335">
        <f t="shared" si="169"/>
        <v>0</v>
      </c>
      <c r="BR52" s="335">
        <f t="shared" si="170"/>
        <v>0</v>
      </c>
      <c r="BS52" s="335">
        <f t="shared" si="158"/>
        <v>0</v>
      </c>
      <c r="BT52" s="335">
        <f t="shared" si="159"/>
        <v>0</v>
      </c>
      <c r="BU52" s="76">
        <f t="shared" si="154"/>
        <v>256.47463904640546</v>
      </c>
      <c r="BV52" s="116" t="s">
        <v>77</v>
      </c>
      <c r="BW52" s="88" t="s">
        <v>77</v>
      </c>
      <c r="BX52" s="88" t="s">
        <v>77</v>
      </c>
      <c r="BY52" s="89" t="s">
        <v>77</v>
      </c>
      <c r="BZ52" s="88" t="s">
        <v>77</v>
      </c>
      <c r="CA52" s="88" t="s">
        <v>77</v>
      </c>
      <c r="CB52" s="89" t="s">
        <v>77</v>
      </c>
      <c r="CC52" s="88" t="s">
        <v>77</v>
      </c>
      <c r="CD52" s="88" t="s">
        <v>77</v>
      </c>
      <c r="CE52" s="89" t="s">
        <v>77</v>
      </c>
      <c r="CF52" s="88" t="s">
        <v>77</v>
      </c>
      <c r="CG52" s="88" t="s">
        <v>77</v>
      </c>
      <c r="CH52" s="89" t="s">
        <v>77</v>
      </c>
      <c r="CI52" s="41">
        <f t="shared" si="184"/>
        <v>0</v>
      </c>
      <c r="CJ52" s="41">
        <f t="shared" si="185"/>
        <v>0</v>
      </c>
      <c r="CK52" s="41">
        <f t="shared" si="186"/>
        <v>0</v>
      </c>
      <c r="CL52" s="41">
        <f t="shared" si="187"/>
        <v>0</v>
      </c>
      <c r="CM52" s="88" t="s">
        <v>77</v>
      </c>
      <c r="CN52" s="88" t="s">
        <v>77</v>
      </c>
      <c r="CO52" s="89" t="s">
        <v>77</v>
      </c>
      <c r="CP52" s="88" t="s">
        <v>77</v>
      </c>
      <c r="CQ52" s="88" t="s">
        <v>77</v>
      </c>
      <c r="CR52" s="89" t="s">
        <v>77</v>
      </c>
      <c r="CS52" s="88" t="s">
        <v>77</v>
      </c>
      <c r="CT52" s="88" t="s">
        <v>77</v>
      </c>
      <c r="CU52" s="89" t="s">
        <v>77</v>
      </c>
      <c r="CV52" s="88" t="s">
        <v>77</v>
      </c>
      <c r="CW52" s="88" t="s">
        <v>77</v>
      </c>
      <c r="CX52" s="89" t="s">
        <v>77</v>
      </c>
      <c r="CY52" s="425" t="s">
        <v>321</v>
      </c>
      <c r="CZ52" s="414" t="s">
        <v>56</v>
      </c>
      <c r="DA52" s="377" t="s">
        <v>57</v>
      </c>
      <c r="DB52" s="377" t="s">
        <v>77</v>
      </c>
      <c r="DC52" s="377" t="s">
        <v>57</v>
      </c>
      <c r="DD52" s="285" t="s">
        <v>650</v>
      </c>
      <c r="DE52" s="279" t="s">
        <v>158</v>
      </c>
      <c r="DF52" s="298" t="s">
        <v>57</v>
      </c>
      <c r="DG52" s="298" t="s">
        <v>57</v>
      </c>
      <c r="DH52" s="298" t="s">
        <v>57</v>
      </c>
      <c r="DI52" s="298" t="s">
        <v>57</v>
      </c>
      <c r="DJ52" s="280" t="s">
        <v>77</v>
      </c>
      <c r="DK52" s="280" t="s">
        <v>77</v>
      </c>
      <c r="DL52" s="280" t="s">
        <v>77</v>
      </c>
      <c r="DM52" s="280" t="s">
        <v>77</v>
      </c>
      <c r="DN52" s="280" t="s">
        <v>77</v>
      </c>
      <c r="DO52" s="279" t="s">
        <v>537</v>
      </c>
      <c r="DP52" s="279" t="s">
        <v>159</v>
      </c>
      <c r="DQ52" s="111"/>
      <c r="DR52" s="28"/>
      <c r="DS52" s="28"/>
      <c r="DT52" s="28"/>
      <c r="DU52" s="28"/>
      <c r="DV52" s="28"/>
      <c r="DW52" s="28"/>
      <c r="DX52" s="28"/>
      <c r="DY52" s="28"/>
    </row>
    <row r="53" spans="1:129" ht="137.25" customHeight="1" x14ac:dyDescent="0.2">
      <c r="A53" s="527"/>
      <c r="B53" s="95" t="s">
        <v>46</v>
      </c>
      <c r="C53" s="480"/>
      <c r="D53" s="260">
        <v>702</v>
      </c>
      <c r="E53" s="455"/>
      <c r="F53" s="483"/>
      <c r="G53" s="483"/>
      <c r="H53" s="483"/>
      <c r="I53" s="482"/>
      <c r="J53" s="455"/>
      <c r="K53" s="280"/>
      <c r="L53" s="280" t="s">
        <v>10</v>
      </c>
      <c r="M53" s="323">
        <v>1</v>
      </c>
      <c r="N53" s="11" t="s">
        <v>77</v>
      </c>
      <c r="O53" s="11" t="s">
        <v>77</v>
      </c>
      <c r="P53" s="316" t="s">
        <v>77</v>
      </c>
      <c r="Q53" s="3">
        <v>0</v>
      </c>
      <c r="R53" s="3">
        <v>0</v>
      </c>
      <c r="S53" s="4">
        <v>0</v>
      </c>
      <c r="T53" s="4">
        <v>0</v>
      </c>
      <c r="U53" s="4">
        <v>0</v>
      </c>
      <c r="V53" s="4">
        <v>0</v>
      </c>
      <c r="W53" s="51" t="s">
        <v>77</v>
      </c>
      <c r="X53" s="51" t="s">
        <v>77</v>
      </c>
      <c r="Y53" s="150">
        <f t="shared" si="161"/>
        <v>0</v>
      </c>
      <c r="Z53" s="150">
        <f t="shared" si="162"/>
        <v>0</v>
      </c>
      <c r="AA53" s="150">
        <f t="shared" si="163"/>
        <v>0</v>
      </c>
      <c r="AB53" s="150">
        <f t="shared" si="172"/>
        <v>0</v>
      </c>
      <c r="AC53" s="150">
        <f t="shared" si="173"/>
        <v>0</v>
      </c>
      <c r="AD53" s="150">
        <f t="shared" si="166"/>
        <v>0</v>
      </c>
      <c r="AE53" s="150">
        <f t="shared" si="167"/>
        <v>0</v>
      </c>
      <c r="AF53" s="150">
        <f t="shared" si="174"/>
        <v>0</v>
      </c>
      <c r="AG53" s="150">
        <f t="shared" si="175"/>
        <v>0</v>
      </c>
      <c r="AH53" s="76">
        <v>125</v>
      </c>
      <c r="AI53" s="76">
        <v>150</v>
      </c>
      <c r="AJ53" s="308">
        <f t="shared" si="188"/>
        <v>137.5</v>
      </c>
      <c r="AK53" s="76">
        <f t="shared" si="189"/>
        <v>125</v>
      </c>
      <c r="AL53" s="76">
        <f t="shared" si="190"/>
        <v>150</v>
      </c>
      <c r="AM53" s="76">
        <f t="shared" si="147"/>
        <v>137.5</v>
      </c>
      <c r="AN53" s="108">
        <v>0.55000000000000004</v>
      </c>
      <c r="AO53" s="76">
        <v>0</v>
      </c>
      <c r="AP53" s="76">
        <f t="shared" si="191"/>
        <v>175</v>
      </c>
      <c r="AQ53" s="76">
        <f t="shared" si="192"/>
        <v>210</v>
      </c>
      <c r="AR53" s="76">
        <f t="shared" si="60"/>
        <v>192.5</v>
      </c>
      <c r="AS53" s="116">
        <v>2.15</v>
      </c>
      <c r="AT53" s="116">
        <v>3.9</v>
      </c>
      <c r="AU53" s="76">
        <f t="shared" si="193"/>
        <v>3.0249999999999999</v>
      </c>
      <c r="AV53" s="76">
        <f t="shared" si="194"/>
        <v>2.15</v>
      </c>
      <c r="AW53" s="76">
        <f t="shared" si="195"/>
        <v>3.9</v>
      </c>
      <c r="AX53" s="76">
        <f t="shared" si="148"/>
        <v>3.0249999999999999</v>
      </c>
      <c r="AY53" s="51">
        <v>0</v>
      </c>
      <c r="AZ53" s="51">
        <v>0</v>
      </c>
      <c r="BA53" s="51">
        <v>0</v>
      </c>
      <c r="BB53" s="338"/>
      <c r="BC53" s="76">
        <f t="shared" si="196"/>
        <v>175</v>
      </c>
      <c r="BD53" s="76">
        <f t="shared" si="197"/>
        <v>210</v>
      </c>
      <c r="BE53" s="76">
        <f t="shared" si="48"/>
        <v>192.5</v>
      </c>
      <c r="BF53" s="76">
        <f t="shared" si="198"/>
        <v>2.15</v>
      </c>
      <c r="BG53" s="76">
        <f t="shared" si="199"/>
        <v>3.9</v>
      </c>
      <c r="BH53" s="76">
        <f t="shared" si="6"/>
        <v>3.0249999999999999</v>
      </c>
      <c r="BI53" s="4">
        <v>100</v>
      </c>
      <c r="BJ53" s="76">
        <v>0</v>
      </c>
      <c r="BK53" s="76">
        <f t="shared" si="160"/>
        <v>0</v>
      </c>
      <c r="BL53" s="116">
        <f t="shared" si="153"/>
        <v>0</v>
      </c>
      <c r="BM53" s="4">
        <f t="shared" si="168"/>
        <v>0</v>
      </c>
      <c r="BN53" s="4">
        <f t="shared" si="65"/>
        <v>0</v>
      </c>
      <c r="BO53" s="4">
        <f t="shared" si="157"/>
        <v>0</v>
      </c>
      <c r="BP53" s="4">
        <f t="shared" si="66"/>
        <v>0</v>
      </c>
      <c r="BQ53" s="335">
        <f t="shared" si="169"/>
        <v>0</v>
      </c>
      <c r="BR53" s="335">
        <f t="shared" si="170"/>
        <v>0</v>
      </c>
      <c r="BS53" s="335">
        <f t="shared" si="158"/>
        <v>0</v>
      </c>
      <c r="BT53" s="335">
        <f t="shared" si="159"/>
        <v>0</v>
      </c>
      <c r="BU53" s="76">
        <f t="shared" si="154"/>
        <v>230.19818628618344</v>
      </c>
      <c r="BV53" s="116" t="s">
        <v>77</v>
      </c>
      <c r="BW53" s="88" t="s">
        <v>77</v>
      </c>
      <c r="BX53" s="88" t="s">
        <v>77</v>
      </c>
      <c r="BY53" s="89" t="s">
        <v>77</v>
      </c>
      <c r="BZ53" s="88" t="s">
        <v>77</v>
      </c>
      <c r="CA53" s="88" t="s">
        <v>77</v>
      </c>
      <c r="CB53" s="89" t="s">
        <v>77</v>
      </c>
      <c r="CC53" s="88" t="s">
        <v>77</v>
      </c>
      <c r="CD53" s="88" t="s">
        <v>77</v>
      </c>
      <c r="CE53" s="89" t="s">
        <v>77</v>
      </c>
      <c r="CF53" s="88" t="s">
        <v>77</v>
      </c>
      <c r="CG53" s="88" t="s">
        <v>77</v>
      </c>
      <c r="CH53" s="89" t="s">
        <v>77</v>
      </c>
      <c r="CI53" s="41">
        <f t="shared" si="184"/>
        <v>0</v>
      </c>
      <c r="CJ53" s="41">
        <f t="shared" si="185"/>
        <v>0</v>
      </c>
      <c r="CK53" s="41">
        <f t="shared" si="186"/>
        <v>0</v>
      </c>
      <c r="CL53" s="41">
        <f t="shared" si="187"/>
        <v>0</v>
      </c>
      <c r="CM53" s="88" t="s">
        <v>77</v>
      </c>
      <c r="CN53" s="88" t="s">
        <v>77</v>
      </c>
      <c r="CO53" s="89" t="s">
        <v>77</v>
      </c>
      <c r="CP53" s="88" t="s">
        <v>77</v>
      </c>
      <c r="CQ53" s="88" t="s">
        <v>77</v>
      </c>
      <c r="CR53" s="89" t="s">
        <v>77</v>
      </c>
      <c r="CS53" s="88" t="s">
        <v>77</v>
      </c>
      <c r="CT53" s="88" t="s">
        <v>77</v>
      </c>
      <c r="CU53" s="89" t="s">
        <v>77</v>
      </c>
      <c r="CV53" s="88" t="s">
        <v>77</v>
      </c>
      <c r="CW53" s="88" t="s">
        <v>77</v>
      </c>
      <c r="CX53" s="89" t="s">
        <v>77</v>
      </c>
      <c r="CY53" s="425"/>
      <c r="CZ53" s="414"/>
      <c r="DA53" s="432"/>
      <c r="DB53" s="432"/>
      <c r="DC53" s="432"/>
      <c r="DD53" s="285" t="s">
        <v>269</v>
      </c>
      <c r="DE53" s="279" t="s">
        <v>270</v>
      </c>
      <c r="DF53" s="298" t="s">
        <v>57</v>
      </c>
      <c r="DG53" s="298" t="s">
        <v>57</v>
      </c>
      <c r="DH53" s="298" t="s">
        <v>57</v>
      </c>
      <c r="DI53" s="298" t="s">
        <v>57</v>
      </c>
      <c r="DJ53" s="280" t="s">
        <v>77</v>
      </c>
      <c r="DK53" s="280" t="s">
        <v>77</v>
      </c>
      <c r="DL53" s="280" t="s">
        <v>77</v>
      </c>
      <c r="DM53" s="280" t="s">
        <v>77</v>
      </c>
      <c r="DN53" s="280" t="s">
        <v>77</v>
      </c>
      <c r="DO53" s="279" t="s">
        <v>532</v>
      </c>
      <c r="DP53" s="279" t="s">
        <v>159</v>
      </c>
      <c r="DQ53" s="111"/>
      <c r="DR53" s="28"/>
      <c r="DS53" s="28"/>
      <c r="DT53" s="28"/>
      <c r="DU53" s="28"/>
      <c r="DV53" s="28"/>
      <c r="DW53" s="28"/>
      <c r="DX53" s="28"/>
      <c r="DY53" s="28"/>
    </row>
    <row r="54" spans="1:129" ht="126" customHeight="1" x14ac:dyDescent="0.2">
      <c r="A54" s="527"/>
      <c r="B54" s="95" t="s">
        <v>47</v>
      </c>
      <c r="C54" s="480"/>
      <c r="D54" s="260">
        <v>703</v>
      </c>
      <c r="E54" s="455"/>
      <c r="F54" s="483"/>
      <c r="G54" s="483"/>
      <c r="H54" s="483"/>
      <c r="I54" s="482"/>
      <c r="J54" s="455"/>
      <c r="K54" s="280"/>
      <c r="L54" s="280" t="s">
        <v>10</v>
      </c>
      <c r="M54" s="323">
        <v>1</v>
      </c>
      <c r="N54" s="11" t="s">
        <v>77</v>
      </c>
      <c r="O54" s="11" t="s">
        <v>77</v>
      </c>
      <c r="P54" s="316" t="s">
        <v>77</v>
      </c>
      <c r="Q54" s="3">
        <v>0</v>
      </c>
      <c r="R54" s="3">
        <v>0</v>
      </c>
      <c r="S54" s="4">
        <v>0</v>
      </c>
      <c r="T54" s="4">
        <v>0</v>
      </c>
      <c r="U54" s="4">
        <v>0</v>
      </c>
      <c r="V54" s="4">
        <v>0</v>
      </c>
      <c r="W54" s="51" t="s">
        <v>77</v>
      </c>
      <c r="X54" s="51" t="s">
        <v>77</v>
      </c>
      <c r="Y54" s="150">
        <f t="shared" si="161"/>
        <v>0</v>
      </c>
      <c r="Z54" s="150">
        <f t="shared" si="162"/>
        <v>0</v>
      </c>
      <c r="AA54" s="150">
        <f t="shared" si="163"/>
        <v>0</v>
      </c>
      <c r="AB54" s="150">
        <f t="shared" si="172"/>
        <v>0</v>
      </c>
      <c r="AC54" s="150">
        <f t="shared" si="173"/>
        <v>0</v>
      </c>
      <c r="AD54" s="150">
        <f t="shared" si="166"/>
        <v>0</v>
      </c>
      <c r="AE54" s="150">
        <f t="shared" si="167"/>
        <v>0</v>
      </c>
      <c r="AF54" s="150">
        <f t="shared" si="174"/>
        <v>0</v>
      </c>
      <c r="AG54" s="150">
        <f t="shared" si="175"/>
        <v>0</v>
      </c>
      <c r="AH54" s="76">
        <v>125</v>
      </c>
      <c r="AI54" s="76">
        <v>150</v>
      </c>
      <c r="AJ54" s="76">
        <f t="shared" si="188"/>
        <v>137.5</v>
      </c>
      <c r="AK54" s="76">
        <f t="shared" si="189"/>
        <v>125</v>
      </c>
      <c r="AL54" s="76">
        <f t="shared" si="190"/>
        <v>150</v>
      </c>
      <c r="AM54" s="76">
        <f t="shared" si="147"/>
        <v>137.5</v>
      </c>
      <c r="AN54" s="108">
        <v>0.55000000000000004</v>
      </c>
      <c r="AO54" s="76">
        <v>0</v>
      </c>
      <c r="AP54" s="76">
        <f t="shared" si="191"/>
        <v>175</v>
      </c>
      <c r="AQ54" s="76">
        <f t="shared" si="192"/>
        <v>210</v>
      </c>
      <c r="AR54" s="76">
        <f t="shared" si="60"/>
        <v>192.5</v>
      </c>
      <c r="AS54" s="116">
        <v>2.15</v>
      </c>
      <c r="AT54" s="116">
        <v>3.9</v>
      </c>
      <c r="AU54" s="76">
        <f t="shared" si="193"/>
        <v>3.0249999999999999</v>
      </c>
      <c r="AV54" s="76">
        <f t="shared" si="194"/>
        <v>2.15</v>
      </c>
      <c r="AW54" s="76">
        <f t="shared" si="195"/>
        <v>3.9</v>
      </c>
      <c r="AX54" s="76">
        <f t="shared" si="148"/>
        <v>3.0249999999999999</v>
      </c>
      <c r="AY54" s="51">
        <v>0</v>
      </c>
      <c r="AZ54" s="51">
        <v>0</v>
      </c>
      <c r="BA54" s="51">
        <v>0</v>
      </c>
      <c r="BB54" s="338"/>
      <c r="BC54" s="76">
        <f t="shared" si="196"/>
        <v>175</v>
      </c>
      <c r="BD54" s="76">
        <f t="shared" si="197"/>
        <v>210</v>
      </c>
      <c r="BE54" s="76">
        <f t="shared" si="48"/>
        <v>192.5</v>
      </c>
      <c r="BF54" s="76">
        <f t="shared" si="198"/>
        <v>2.15</v>
      </c>
      <c r="BG54" s="76">
        <f t="shared" si="199"/>
        <v>3.9</v>
      </c>
      <c r="BH54" s="76">
        <f t="shared" si="6"/>
        <v>3.0249999999999999</v>
      </c>
      <c r="BI54" s="4">
        <v>100</v>
      </c>
      <c r="BJ54" s="76">
        <v>0</v>
      </c>
      <c r="BK54" s="76">
        <f t="shared" si="160"/>
        <v>0</v>
      </c>
      <c r="BL54" s="116">
        <f t="shared" si="153"/>
        <v>0</v>
      </c>
      <c r="BM54" s="4">
        <f t="shared" si="168"/>
        <v>0</v>
      </c>
      <c r="BN54" s="4">
        <f t="shared" si="65"/>
        <v>0</v>
      </c>
      <c r="BO54" s="4">
        <f t="shared" si="157"/>
        <v>0</v>
      </c>
      <c r="BP54" s="4">
        <f t="shared" si="66"/>
        <v>0</v>
      </c>
      <c r="BQ54" s="335">
        <f t="shared" si="169"/>
        <v>0</v>
      </c>
      <c r="BR54" s="335">
        <f t="shared" si="170"/>
        <v>0</v>
      </c>
      <c r="BS54" s="335">
        <f t="shared" si="158"/>
        <v>0</v>
      </c>
      <c r="BT54" s="335">
        <f t="shared" si="159"/>
        <v>0</v>
      </c>
      <c r="BU54" s="76">
        <f t="shared" si="154"/>
        <v>230.19818628618344</v>
      </c>
      <c r="BV54" s="116" t="s">
        <v>77</v>
      </c>
      <c r="BW54" s="88" t="s">
        <v>77</v>
      </c>
      <c r="BX54" s="88" t="s">
        <v>77</v>
      </c>
      <c r="BY54" s="89" t="s">
        <v>77</v>
      </c>
      <c r="BZ54" s="88" t="s">
        <v>77</v>
      </c>
      <c r="CA54" s="88" t="s">
        <v>77</v>
      </c>
      <c r="CB54" s="89" t="s">
        <v>77</v>
      </c>
      <c r="CC54" s="88" t="s">
        <v>77</v>
      </c>
      <c r="CD54" s="88" t="s">
        <v>77</v>
      </c>
      <c r="CE54" s="89" t="s">
        <v>77</v>
      </c>
      <c r="CF54" s="88" t="s">
        <v>77</v>
      </c>
      <c r="CG54" s="88" t="s">
        <v>77</v>
      </c>
      <c r="CH54" s="89" t="s">
        <v>77</v>
      </c>
      <c r="CI54" s="41">
        <f t="shared" si="184"/>
        <v>0</v>
      </c>
      <c r="CJ54" s="41">
        <f t="shared" si="185"/>
        <v>0</v>
      </c>
      <c r="CK54" s="41">
        <f t="shared" si="186"/>
        <v>0</v>
      </c>
      <c r="CL54" s="41">
        <f t="shared" si="187"/>
        <v>0</v>
      </c>
      <c r="CM54" s="88" t="s">
        <v>77</v>
      </c>
      <c r="CN54" s="88" t="s">
        <v>77</v>
      </c>
      <c r="CO54" s="89" t="s">
        <v>77</v>
      </c>
      <c r="CP54" s="88" t="s">
        <v>77</v>
      </c>
      <c r="CQ54" s="88" t="s">
        <v>77</v>
      </c>
      <c r="CR54" s="89" t="s">
        <v>77</v>
      </c>
      <c r="CS54" s="88" t="s">
        <v>77</v>
      </c>
      <c r="CT54" s="88" t="s">
        <v>77</v>
      </c>
      <c r="CU54" s="89" t="s">
        <v>77</v>
      </c>
      <c r="CV54" s="88" t="s">
        <v>77</v>
      </c>
      <c r="CW54" s="88" t="s">
        <v>77</v>
      </c>
      <c r="CX54" s="89" t="s">
        <v>77</v>
      </c>
      <c r="CY54" s="425"/>
      <c r="CZ54" s="414"/>
      <c r="DA54" s="432"/>
      <c r="DB54" s="432"/>
      <c r="DC54" s="432"/>
      <c r="DD54" s="285" t="s">
        <v>651</v>
      </c>
      <c r="DE54" s="279" t="s">
        <v>160</v>
      </c>
      <c r="DF54" s="298" t="s">
        <v>57</v>
      </c>
      <c r="DG54" s="298" t="s">
        <v>57</v>
      </c>
      <c r="DH54" s="298" t="s">
        <v>57</v>
      </c>
      <c r="DI54" s="298" t="s">
        <v>57</v>
      </c>
      <c r="DJ54" s="280" t="s">
        <v>77</v>
      </c>
      <c r="DK54" s="280" t="s">
        <v>77</v>
      </c>
      <c r="DL54" s="280" t="s">
        <v>77</v>
      </c>
      <c r="DM54" s="280" t="s">
        <v>77</v>
      </c>
      <c r="DN54" s="280" t="s">
        <v>77</v>
      </c>
      <c r="DO54" s="279" t="s">
        <v>533</v>
      </c>
      <c r="DP54" s="279" t="s">
        <v>159</v>
      </c>
      <c r="DQ54" s="111"/>
      <c r="DR54" s="28"/>
      <c r="DS54" s="28"/>
      <c r="DT54" s="28"/>
      <c r="DU54" s="28"/>
      <c r="DV54" s="28"/>
      <c r="DW54" s="28"/>
      <c r="DX54" s="28"/>
      <c r="DY54" s="28"/>
    </row>
    <row r="55" spans="1:129" ht="126" customHeight="1" x14ac:dyDescent="0.2">
      <c r="A55" s="527"/>
      <c r="B55" s="95" t="s">
        <v>48</v>
      </c>
      <c r="C55" s="480"/>
      <c r="D55" s="260">
        <v>704</v>
      </c>
      <c r="E55" s="455"/>
      <c r="F55" s="483"/>
      <c r="G55" s="483"/>
      <c r="H55" s="483"/>
      <c r="I55" s="482"/>
      <c r="J55" s="455"/>
      <c r="K55" s="280"/>
      <c r="L55" s="280" t="s">
        <v>10</v>
      </c>
      <c r="M55" s="323">
        <v>1</v>
      </c>
      <c r="N55" s="11" t="s">
        <v>77</v>
      </c>
      <c r="O55" s="11" t="s">
        <v>77</v>
      </c>
      <c r="P55" s="316" t="s">
        <v>77</v>
      </c>
      <c r="Q55" s="3">
        <v>0</v>
      </c>
      <c r="R55" s="3">
        <v>0</v>
      </c>
      <c r="S55" s="4">
        <v>0</v>
      </c>
      <c r="T55" s="4">
        <v>0</v>
      </c>
      <c r="U55" s="4">
        <v>0</v>
      </c>
      <c r="V55" s="4">
        <v>0</v>
      </c>
      <c r="W55" s="51" t="s">
        <v>77</v>
      </c>
      <c r="X55" s="51" t="s">
        <v>77</v>
      </c>
      <c r="Y55" s="150">
        <f t="shared" si="161"/>
        <v>0</v>
      </c>
      <c r="Z55" s="150">
        <f t="shared" si="162"/>
        <v>0</v>
      </c>
      <c r="AA55" s="150">
        <f t="shared" si="163"/>
        <v>0</v>
      </c>
      <c r="AB55" s="150">
        <f t="shared" si="172"/>
        <v>0</v>
      </c>
      <c r="AC55" s="150">
        <f t="shared" si="173"/>
        <v>0</v>
      </c>
      <c r="AD55" s="150">
        <f t="shared" si="166"/>
        <v>0</v>
      </c>
      <c r="AE55" s="150">
        <f t="shared" si="167"/>
        <v>0</v>
      </c>
      <c r="AF55" s="150">
        <f t="shared" si="174"/>
        <v>0</v>
      </c>
      <c r="AG55" s="150">
        <f t="shared" si="175"/>
        <v>0</v>
      </c>
      <c r="AH55" s="76">
        <v>125</v>
      </c>
      <c r="AI55" s="76">
        <v>150</v>
      </c>
      <c r="AJ55" s="76">
        <f t="shared" si="188"/>
        <v>137.5</v>
      </c>
      <c r="AK55" s="76">
        <f t="shared" si="189"/>
        <v>125</v>
      </c>
      <c r="AL55" s="76">
        <f t="shared" si="190"/>
        <v>150</v>
      </c>
      <c r="AM55" s="76">
        <f t="shared" si="147"/>
        <v>137.5</v>
      </c>
      <c r="AN55" s="108">
        <v>0.55000000000000004</v>
      </c>
      <c r="AO55" s="76">
        <v>0</v>
      </c>
      <c r="AP55" s="76">
        <f t="shared" si="191"/>
        <v>175</v>
      </c>
      <c r="AQ55" s="76">
        <f t="shared" si="192"/>
        <v>210</v>
      </c>
      <c r="AR55" s="76">
        <f t="shared" si="60"/>
        <v>192.5</v>
      </c>
      <c r="AS55" s="116">
        <v>0.5</v>
      </c>
      <c r="AT55" s="116">
        <v>0.75</v>
      </c>
      <c r="AU55" s="76">
        <f t="shared" si="193"/>
        <v>0.625</v>
      </c>
      <c r="AV55" s="76">
        <f t="shared" si="194"/>
        <v>0.5</v>
      </c>
      <c r="AW55" s="76">
        <f t="shared" si="195"/>
        <v>0.75</v>
      </c>
      <c r="AX55" s="76">
        <f t="shared" si="148"/>
        <v>0.625</v>
      </c>
      <c r="AY55" s="51">
        <v>0</v>
      </c>
      <c r="AZ55" s="51">
        <v>0</v>
      </c>
      <c r="BA55" s="51">
        <v>0</v>
      </c>
      <c r="BB55" s="338"/>
      <c r="BC55" s="76">
        <f t="shared" si="196"/>
        <v>175</v>
      </c>
      <c r="BD55" s="76">
        <f t="shared" si="197"/>
        <v>210</v>
      </c>
      <c r="BE55" s="76">
        <f t="shared" si="48"/>
        <v>192.5</v>
      </c>
      <c r="BF55" s="76">
        <f t="shared" si="198"/>
        <v>0.5</v>
      </c>
      <c r="BG55" s="76">
        <f t="shared" si="199"/>
        <v>0.75</v>
      </c>
      <c r="BH55" s="76">
        <f t="shared" si="6"/>
        <v>0.625</v>
      </c>
      <c r="BI55" s="4">
        <v>100</v>
      </c>
      <c r="BJ55" s="76">
        <v>0</v>
      </c>
      <c r="BK55" s="76">
        <f t="shared" si="160"/>
        <v>0</v>
      </c>
      <c r="BL55" s="116">
        <f t="shared" si="153"/>
        <v>0</v>
      </c>
      <c r="BM55" s="4">
        <f t="shared" si="168"/>
        <v>0</v>
      </c>
      <c r="BN55" s="4">
        <f t="shared" si="65"/>
        <v>0</v>
      </c>
      <c r="BO55" s="4">
        <f t="shared" si="157"/>
        <v>0</v>
      </c>
      <c r="BP55" s="4">
        <f t="shared" si="66"/>
        <v>0</v>
      </c>
      <c r="BQ55" s="335">
        <f t="shared" si="169"/>
        <v>0</v>
      </c>
      <c r="BR55" s="335">
        <f t="shared" si="170"/>
        <v>0</v>
      </c>
      <c r="BS55" s="335">
        <f t="shared" si="158"/>
        <v>0</v>
      </c>
      <c r="BT55" s="335">
        <f t="shared" si="159"/>
        <v>0</v>
      </c>
      <c r="BU55" s="76">
        <f t="shared" si="154"/>
        <v>200.2888814640875</v>
      </c>
      <c r="BV55" s="116" t="s">
        <v>77</v>
      </c>
      <c r="BW55" s="88" t="s">
        <v>77</v>
      </c>
      <c r="BX55" s="88" t="s">
        <v>77</v>
      </c>
      <c r="BY55" s="89" t="s">
        <v>77</v>
      </c>
      <c r="BZ55" s="88" t="s">
        <v>77</v>
      </c>
      <c r="CA55" s="88" t="s">
        <v>77</v>
      </c>
      <c r="CB55" s="89" t="s">
        <v>77</v>
      </c>
      <c r="CC55" s="88" t="s">
        <v>77</v>
      </c>
      <c r="CD55" s="88" t="s">
        <v>77</v>
      </c>
      <c r="CE55" s="89" t="s">
        <v>77</v>
      </c>
      <c r="CF55" s="88" t="s">
        <v>77</v>
      </c>
      <c r="CG55" s="88" t="s">
        <v>77</v>
      </c>
      <c r="CH55" s="89" t="s">
        <v>77</v>
      </c>
      <c r="CI55" s="41">
        <f t="shared" si="184"/>
        <v>0</v>
      </c>
      <c r="CJ55" s="41">
        <f t="shared" si="185"/>
        <v>0</v>
      </c>
      <c r="CK55" s="41">
        <f t="shared" si="186"/>
        <v>0</v>
      </c>
      <c r="CL55" s="41">
        <f t="shared" si="187"/>
        <v>0</v>
      </c>
      <c r="CM55" s="88" t="s">
        <v>77</v>
      </c>
      <c r="CN55" s="88" t="s">
        <v>77</v>
      </c>
      <c r="CO55" s="89" t="s">
        <v>77</v>
      </c>
      <c r="CP55" s="88" t="s">
        <v>77</v>
      </c>
      <c r="CQ55" s="88" t="s">
        <v>77</v>
      </c>
      <c r="CR55" s="89" t="s">
        <v>77</v>
      </c>
      <c r="CS55" s="88" t="s">
        <v>77</v>
      </c>
      <c r="CT55" s="88" t="s">
        <v>77</v>
      </c>
      <c r="CU55" s="89" t="s">
        <v>77</v>
      </c>
      <c r="CV55" s="88" t="s">
        <v>77</v>
      </c>
      <c r="CW55" s="88" t="s">
        <v>77</v>
      </c>
      <c r="CX55" s="89" t="s">
        <v>77</v>
      </c>
      <c r="CY55" s="425"/>
      <c r="CZ55" s="414"/>
      <c r="DA55" s="432"/>
      <c r="DB55" s="432"/>
      <c r="DC55" s="432"/>
      <c r="DD55" s="285"/>
      <c r="DE55" s="279" t="s">
        <v>492</v>
      </c>
      <c r="DF55" s="298" t="s">
        <v>57</v>
      </c>
      <c r="DG55" s="298" t="s">
        <v>57</v>
      </c>
      <c r="DH55" s="298" t="s">
        <v>57</v>
      </c>
      <c r="DI55" s="298" t="s">
        <v>57</v>
      </c>
      <c r="DJ55" s="280" t="s">
        <v>77</v>
      </c>
      <c r="DK55" s="280" t="s">
        <v>77</v>
      </c>
      <c r="DL55" s="280" t="s">
        <v>77</v>
      </c>
      <c r="DM55" s="280" t="s">
        <v>77</v>
      </c>
      <c r="DN55" s="280" t="s">
        <v>77</v>
      </c>
      <c r="DO55" s="279" t="s">
        <v>530</v>
      </c>
      <c r="DP55" s="279" t="s">
        <v>159</v>
      </c>
      <c r="DQ55" s="111"/>
      <c r="DR55" s="28"/>
      <c r="DS55" s="28"/>
      <c r="DT55" s="28"/>
      <c r="DU55" s="28"/>
      <c r="DV55" s="28"/>
      <c r="DW55" s="28"/>
      <c r="DX55" s="28"/>
      <c r="DY55" s="28"/>
    </row>
    <row r="56" spans="1:129" ht="120" customHeight="1" x14ac:dyDescent="0.2">
      <c r="A56" s="527"/>
      <c r="B56" s="95" t="s">
        <v>49</v>
      </c>
      <c r="C56" s="480"/>
      <c r="D56" s="260">
        <v>705</v>
      </c>
      <c r="E56" s="455"/>
      <c r="F56" s="483"/>
      <c r="G56" s="483"/>
      <c r="H56" s="483"/>
      <c r="I56" s="482"/>
      <c r="J56" s="455"/>
      <c r="K56" s="280"/>
      <c r="L56" s="280" t="s">
        <v>11</v>
      </c>
      <c r="M56" s="323">
        <v>1</v>
      </c>
      <c r="N56" s="11" t="s">
        <v>77</v>
      </c>
      <c r="O56" s="11" t="s">
        <v>77</v>
      </c>
      <c r="P56" s="316" t="s">
        <v>77</v>
      </c>
      <c r="Q56" s="3">
        <v>0</v>
      </c>
      <c r="R56" s="3">
        <v>0</v>
      </c>
      <c r="S56" s="4">
        <v>0</v>
      </c>
      <c r="T56" s="4">
        <v>0</v>
      </c>
      <c r="U56" s="4">
        <v>0</v>
      </c>
      <c r="V56" s="4">
        <v>0</v>
      </c>
      <c r="W56" s="51" t="s">
        <v>77</v>
      </c>
      <c r="X56" s="51" t="s">
        <v>77</v>
      </c>
      <c r="Y56" s="150">
        <f t="shared" si="161"/>
        <v>0</v>
      </c>
      <c r="Z56" s="150">
        <f t="shared" si="162"/>
        <v>0</v>
      </c>
      <c r="AA56" s="150">
        <f t="shared" si="163"/>
        <v>0</v>
      </c>
      <c r="AB56" s="150">
        <f t="shared" si="172"/>
        <v>0</v>
      </c>
      <c r="AC56" s="150">
        <f t="shared" si="173"/>
        <v>0</v>
      </c>
      <c r="AD56" s="150">
        <f t="shared" si="166"/>
        <v>0</v>
      </c>
      <c r="AE56" s="150">
        <f t="shared" si="167"/>
        <v>0</v>
      </c>
      <c r="AF56" s="150">
        <f t="shared" si="174"/>
        <v>0</v>
      </c>
      <c r="AG56" s="150">
        <f t="shared" si="175"/>
        <v>0</v>
      </c>
      <c r="AH56" s="76">
        <v>250000</v>
      </c>
      <c r="AI56" s="76">
        <v>750000</v>
      </c>
      <c r="AJ56" s="76">
        <f t="shared" si="188"/>
        <v>500000</v>
      </c>
      <c r="AK56" s="76">
        <f t="shared" si="189"/>
        <v>250000</v>
      </c>
      <c r="AL56" s="76">
        <f t="shared" si="190"/>
        <v>750000</v>
      </c>
      <c r="AM56" s="76">
        <f t="shared" si="147"/>
        <v>500000</v>
      </c>
      <c r="AN56" s="108">
        <v>0.45</v>
      </c>
      <c r="AO56" s="76">
        <v>0</v>
      </c>
      <c r="AP56" s="76">
        <f t="shared" si="191"/>
        <v>350000</v>
      </c>
      <c r="AQ56" s="76">
        <f t="shared" si="192"/>
        <v>1050000</v>
      </c>
      <c r="AR56" s="76">
        <f t="shared" si="60"/>
        <v>700000</v>
      </c>
      <c r="AS56" s="116">
        <v>50000</v>
      </c>
      <c r="AT56" s="116">
        <v>75000</v>
      </c>
      <c r="AU56" s="76">
        <f t="shared" si="193"/>
        <v>62500</v>
      </c>
      <c r="AV56" s="76">
        <f t="shared" si="194"/>
        <v>50000</v>
      </c>
      <c r="AW56" s="76">
        <f t="shared" si="195"/>
        <v>75000</v>
      </c>
      <c r="AX56" s="76">
        <f t="shared" si="148"/>
        <v>62500</v>
      </c>
      <c r="AY56" s="51">
        <v>0</v>
      </c>
      <c r="AZ56" s="51">
        <v>0</v>
      </c>
      <c r="BA56" s="51">
        <v>0</v>
      </c>
      <c r="BB56" s="338"/>
      <c r="BC56" s="76">
        <f t="shared" si="196"/>
        <v>350000</v>
      </c>
      <c r="BD56" s="76">
        <f t="shared" si="197"/>
        <v>1050000</v>
      </c>
      <c r="BE56" s="76">
        <f t="shared" si="48"/>
        <v>700000</v>
      </c>
      <c r="BF56" s="76">
        <f t="shared" si="198"/>
        <v>50000</v>
      </c>
      <c r="BG56" s="76">
        <f t="shared" si="199"/>
        <v>75000</v>
      </c>
      <c r="BH56" s="76">
        <f t="shared" si="6"/>
        <v>62500</v>
      </c>
      <c r="BI56" s="4">
        <v>10</v>
      </c>
      <c r="BJ56" s="76">
        <v>200000</v>
      </c>
      <c r="BK56" s="76">
        <f t="shared" si="160"/>
        <v>400000</v>
      </c>
      <c r="BL56" s="116">
        <f t="shared" si="153"/>
        <v>198160.54728275197</v>
      </c>
      <c r="BM56" s="4">
        <f t="shared" si="168"/>
        <v>0</v>
      </c>
      <c r="BN56" s="4">
        <f t="shared" si="65"/>
        <v>0</v>
      </c>
      <c r="BO56" s="4">
        <f t="shared" si="157"/>
        <v>0</v>
      </c>
      <c r="BP56" s="4">
        <f t="shared" si="66"/>
        <v>0</v>
      </c>
      <c r="BQ56" s="335">
        <f t="shared" si="169"/>
        <v>0</v>
      </c>
      <c r="BR56" s="335">
        <f t="shared" si="170"/>
        <v>0</v>
      </c>
      <c r="BS56" s="335">
        <f t="shared" si="158"/>
        <v>0</v>
      </c>
      <c r="BT56" s="335">
        <f t="shared" si="159"/>
        <v>0</v>
      </c>
      <c r="BU56" s="76">
        <f t="shared" si="154"/>
        <v>1478888.1464087493</v>
      </c>
      <c r="BV56" s="116" t="s">
        <v>77</v>
      </c>
      <c r="BW56" s="88" t="s">
        <v>77</v>
      </c>
      <c r="BX56" s="88" t="s">
        <v>77</v>
      </c>
      <c r="BY56" s="89" t="s">
        <v>77</v>
      </c>
      <c r="BZ56" s="88" t="s">
        <v>77</v>
      </c>
      <c r="CA56" s="88" t="s">
        <v>77</v>
      </c>
      <c r="CB56" s="89" t="s">
        <v>77</v>
      </c>
      <c r="CC56" s="88" t="s">
        <v>77</v>
      </c>
      <c r="CD56" s="88" t="s">
        <v>77</v>
      </c>
      <c r="CE56" s="89" t="s">
        <v>77</v>
      </c>
      <c r="CF56" s="88" t="s">
        <v>77</v>
      </c>
      <c r="CG56" s="88" t="s">
        <v>77</v>
      </c>
      <c r="CH56" s="89" t="s">
        <v>77</v>
      </c>
      <c r="CI56" s="41">
        <f t="shared" si="184"/>
        <v>0</v>
      </c>
      <c r="CJ56" s="41">
        <f t="shared" si="185"/>
        <v>0</v>
      </c>
      <c r="CK56" s="41">
        <f t="shared" si="186"/>
        <v>0</v>
      </c>
      <c r="CL56" s="41">
        <f t="shared" si="187"/>
        <v>0</v>
      </c>
      <c r="CM56" s="88" t="s">
        <v>77</v>
      </c>
      <c r="CN56" s="88" t="s">
        <v>77</v>
      </c>
      <c r="CO56" s="89" t="s">
        <v>77</v>
      </c>
      <c r="CP56" s="88" t="s">
        <v>77</v>
      </c>
      <c r="CQ56" s="88" t="s">
        <v>77</v>
      </c>
      <c r="CR56" s="89" t="s">
        <v>77</v>
      </c>
      <c r="CS56" s="88" t="s">
        <v>77</v>
      </c>
      <c r="CT56" s="88" t="s">
        <v>77</v>
      </c>
      <c r="CU56" s="89" t="s">
        <v>77</v>
      </c>
      <c r="CV56" s="88" t="s">
        <v>77</v>
      </c>
      <c r="CW56" s="88" t="s">
        <v>77</v>
      </c>
      <c r="CX56" s="89" t="s">
        <v>77</v>
      </c>
      <c r="CY56" s="425"/>
      <c r="CZ56" s="414"/>
      <c r="DA56" s="432"/>
      <c r="DB56" s="432"/>
      <c r="DC56" s="432"/>
      <c r="DD56" s="285" t="s">
        <v>161</v>
      </c>
      <c r="DE56" s="279" t="s">
        <v>162</v>
      </c>
      <c r="DF56" s="298" t="s">
        <v>57</v>
      </c>
      <c r="DG56" s="298" t="s">
        <v>57</v>
      </c>
      <c r="DH56" s="298" t="s">
        <v>57</v>
      </c>
      <c r="DI56" s="298" t="s">
        <v>57</v>
      </c>
      <c r="DJ56" s="280" t="s">
        <v>77</v>
      </c>
      <c r="DK56" s="280" t="s">
        <v>77</v>
      </c>
      <c r="DL56" s="280" t="s">
        <v>77</v>
      </c>
      <c r="DM56" s="280" t="s">
        <v>77</v>
      </c>
      <c r="DN56" s="280" t="s">
        <v>77</v>
      </c>
      <c r="DO56" s="279" t="s">
        <v>531</v>
      </c>
      <c r="DP56" s="279" t="s">
        <v>159</v>
      </c>
      <c r="DQ56" s="111"/>
      <c r="DR56" s="28"/>
      <c r="DS56" s="28"/>
      <c r="DT56" s="28"/>
      <c r="DU56" s="28"/>
      <c r="DV56" s="28"/>
      <c r="DW56" s="28"/>
      <c r="DX56" s="28"/>
      <c r="DY56" s="28"/>
    </row>
    <row r="57" spans="1:129" ht="128.25" customHeight="1" x14ac:dyDescent="0.2">
      <c r="A57" s="527"/>
      <c r="B57" s="95" t="s">
        <v>50</v>
      </c>
      <c r="C57" s="481"/>
      <c r="D57" s="260">
        <v>706</v>
      </c>
      <c r="E57" s="455"/>
      <c r="F57" s="483"/>
      <c r="G57" s="483"/>
      <c r="H57" s="483"/>
      <c r="I57" s="382"/>
      <c r="J57" s="455"/>
      <c r="K57" s="280"/>
      <c r="L57" s="280" t="s">
        <v>11</v>
      </c>
      <c r="M57" s="323">
        <v>1</v>
      </c>
      <c r="N57" s="11" t="s">
        <v>77</v>
      </c>
      <c r="O57" s="11" t="s">
        <v>77</v>
      </c>
      <c r="P57" s="316" t="s">
        <v>77</v>
      </c>
      <c r="Q57" s="3">
        <v>0</v>
      </c>
      <c r="R57" s="3">
        <v>0</v>
      </c>
      <c r="S57" s="4">
        <v>0</v>
      </c>
      <c r="T57" s="4">
        <v>0</v>
      </c>
      <c r="U57" s="4">
        <v>0</v>
      </c>
      <c r="V57" s="4">
        <v>0</v>
      </c>
      <c r="W57" s="51" t="s">
        <v>77</v>
      </c>
      <c r="X57" s="51" t="s">
        <v>77</v>
      </c>
      <c r="Y57" s="150">
        <f t="shared" si="161"/>
        <v>0</v>
      </c>
      <c r="Z57" s="150">
        <f t="shared" si="162"/>
        <v>0</v>
      </c>
      <c r="AA57" s="150">
        <f t="shared" si="163"/>
        <v>0</v>
      </c>
      <c r="AB57" s="150">
        <f t="shared" si="172"/>
        <v>0</v>
      </c>
      <c r="AC57" s="150">
        <f t="shared" si="173"/>
        <v>0</v>
      </c>
      <c r="AD57" s="150">
        <f t="shared" si="166"/>
        <v>0</v>
      </c>
      <c r="AE57" s="150">
        <f t="shared" si="167"/>
        <v>0</v>
      </c>
      <c r="AF57" s="150">
        <f t="shared" si="174"/>
        <v>0</v>
      </c>
      <c r="AG57" s="150">
        <f t="shared" si="175"/>
        <v>0</v>
      </c>
      <c r="AH57" s="76">
        <v>10000</v>
      </c>
      <c r="AI57" s="76">
        <v>15000</v>
      </c>
      <c r="AJ57" s="76">
        <f t="shared" si="188"/>
        <v>12500</v>
      </c>
      <c r="AK57" s="76">
        <f t="shared" si="189"/>
        <v>10000</v>
      </c>
      <c r="AL57" s="76">
        <f t="shared" si="190"/>
        <v>15000</v>
      </c>
      <c r="AM57" s="76">
        <f t="shared" si="147"/>
        <v>12500</v>
      </c>
      <c r="AN57" s="108">
        <v>0.4</v>
      </c>
      <c r="AO57" s="76">
        <v>0</v>
      </c>
      <c r="AP57" s="76">
        <f t="shared" si="191"/>
        <v>14000</v>
      </c>
      <c r="AQ57" s="76">
        <f t="shared" si="192"/>
        <v>21000</v>
      </c>
      <c r="AR57" s="76">
        <f t="shared" si="60"/>
        <v>17500</v>
      </c>
      <c r="AS57" s="116">
        <v>60</v>
      </c>
      <c r="AT57" s="116">
        <v>80</v>
      </c>
      <c r="AU57" s="76">
        <f t="shared" si="193"/>
        <v>70</v>
      </c>
      <c r="AV57" s="76">
        <f t="shared" si="194"/>
        <v>60</v>
      </c>
      <c r="AW57" s="76">
        <f t="shared" si="195"/>
        <v>80</v>
      </c>
      <c r="AX57" s="76">
        <f t="shared" si="148"/>
        <v>70</v>
      </c>
      <c r="AY57" s="51">
        <v>0</v>
      </c>
      <c r="AZ57" s="51">
        <v>0</v>
      </c>
      <c r="BA57" s="51">
        <v>0</v>
      </c>
      <c r="BB57" s="338"/>
      <c r="BC57" s="76">
        <f t="shared" si="196"/>
        <v>14000</v>
      </c>
      <c r="BD57" s="76">
        <f t="shared" si="197"/>
        <v>21000</v>
      </c>
      <c r="BE57" s="76">
        <f t="shared" si="48"/>
        <v>17500</v>
      </c>
      <c r="BF57" s="76">
        <f t="shared" si="198"/>
        <v>60</v>
      </c>
      <c r="BG57" s="76">
        <f t="shared" si="199"/>
        <v>80</v>
      </c>
      <c r="BH57" s="76">
        <f t="shared" si="6"/>
        <v>70</v>
      </c>
      <c r="BI57" s="4">
        <v>10</v>
      </c>
      <c r="BJ57" s="76">
        <v>2500</v>
      </c>
      <c r="BK57" s="76">
        <f t="shared" si="160"/>
        <v>5000</v>
      </c>
      <c r="BL57" s="116">
        <f t="shared" si="153"/>
        <v>2477.0068410344002</v>
      </c>
      <c r="BM57" s="4">
        <f t="shared" si="168"/>
        <v>0</v>
      </c>
      <c r="BN57" s="4">
        <f t="shared" si="65"/>
        <v>0</v>
      </c>
      <c r="BO57" s="4">
        <f t="shared" si="157"/>
        <v>0</v>
      </c>
      <c r="BP57" s="4">
        <f t="shared" si="66"/>
        <v>0</v>
      </c>
      <c r="BQ57" s="335">
        <f t="shared" si="169"/>
        <v>0</v>
      </c>
      <c r="BR57" s="335">
        <f t="shared" si="170"/>
        <v>0</v>
      </c>
      <c r="BS57" s="335">
        <f t="shared" si="158"/>
        <v>0</v>
      </c>
      <c r="BT57" s="335">
        <f t="shared" si="159"/>
        <v>0</v>
      </c>
      <c r="BU57" s="76">
        <f t="shared" si="154"/>
        <v>18372.354723977798</v>
      </c>
      <c r="BV57" s="116" t="s">
        <v>77</v>
      </c>
      <c r="BW57" s="88" t="s">
        <v>77</v>
      </c>
      <c r="BX57" s="88" t="s">
        <v>77</v>
      </c>
      <c r="BY57" s="89" t="s">
        <v>77</v>
      </c>
      <c r="BZ57" s="88" t="s">
        <v>77</v>
      </c>
      <c r="CA57" s="88" t="s">
        <v>77</v>
      </c>
      <c r="CB57" s="89" t="s">
        <v>77</v>
      </c>
      <c r="CC57" s="88" t="s">
        <v>77</v>
      </c>
      <c r="CD57" s="88" t="s">
        <v>77</v>
      </c>
      <c r="CE57" s="89" t="s">
        <v>77</v>
      </c>
      <c r="CF57" s="88" t="s">
        <v>77</v>
      </c>
      <c r="CG57" s="88" t="s">
        <v>77</v>
      </c>
      <c r="CH57" s="89" t="s">
        <v>77</v>
      </c>
      <c r="CI57" s="41">
        <f t="shared" si="184"/>
        <v>0</v>
      </c>
      <c r="CJ57" s="41">
        <f t="shared" si="185"/>
        <v>0</v>
      </c>
      <c r="CK57" s="41">
        <f t="shared" si="186"/>
        <v>0</v>
      </c>
      <c r="CL57" s="41">
        <f t="shared" si="187"/>
        <v>0</v>
      </c>
      <c r="CM57" s="88" t="s">
        <v>77</v>
      </c>
      <c r="CN57" s="88" t="s">
        <v>77</v>
      </c>
      <c r="CO57" s="89" t="s">
        <v>77</v>
      </c>
      <c r="CP57" s="88" t="s">
        <v>77</v>
      </c>
      <c r="CQ57" s="88" t="s">
        <v>77</v>
      </c>
      <c r="CR57" s="89" t="s">
        <v>77</v>
      </c>
      <c r="CS57" s="88" t="s">
        <v>77</v>
      </c>
      <c r="CT57" s="88" t="s">
        <v>77</v>
      </c>
      <c r="CU57" s="89" t="s">
        <v>77</v>
      </c>
      <c r="CV57" s="88" t="s">
        <v>77</v>
      </c>
      <c r="CW57" s="88" t="s">
        <v>77</v>
      </c>
      <c r="CX57" s="89" t="s">
        <v>77</v>
      </c>
      <c r="CY57" s="425"/>
      <c r="CZ57" s="414"/>
      <c r="DA57" s="378"/>
      <c r="DB57" s="378"/>
      <c r="DC57" s="378"/>
      <c r="DD57" s="285"/>
      <c r="DE57" s="279" t="s">
        <v>163</v>
      </c>
      <c r="DF57" s="298" t="s">
        <v>57</v>
      </c>
      <c r="DG57" s="298" t="s">
        <v>57</v>
      </c>
      <c r="DH57" s="298" t="s">
        <v>57</v>
      </c>
      <c r="DI57" s="298" t="s">
        <v>57</v>
      </c>
      <c r="DJ57" s="280" t="s">
        <v>77</v>
      </c>
      <c r="DK57" s="280" t="s">
        <v>77</v>
      </c>
      <c r="DL57" s="280" t="s">
        <v>77</v>
      </c>
      <c r="DM57" s="280" t="s">
        <v>77</v>
      </c>
      <c r="DN57" s="280" t="s">
        <v>77</v>
      </c>
      <c r="DO57" s="279" t="s">
        <v>530</v>
      </c>
      <c r="DP57" s="279" t="s">
        <v>159</v>
      </c>
      <c r="DQ57" s="111"/>
      <c r="DR57" s="28"/>
      <c r="DS57" s="28"/>
      <c r="DT57" s="28"/>
      <c r="DU57" s="28"/>
      <c r="DV57" s="28"/>
      <c r="DW57" s="28"/>
      <c r="DX57" s="28"/>
      <c r="DY57" s="28"/>
    </row>
    <row r="58" spans="1:129" ht="198" customHeight="1" x14ac:dyDescent="0.2">
      <c r="A58" s="527"/>
      <c r="B58" s="96" t="s">
        <v>36</v>
      </c>
      <c r="C58" s="84"/>
      <c r="D58" s="290">
        <v>800</v>
      </c>
      <c r="E58" s="285" t="s">
        <v>438</v>
      </c>
      <c r="F58" s="286" t="s">
        <v>164</v>
      </c>
      <c r="G58" s="286" t="s">
        <v>77</v>
      </c>
      <c r="H58" s="286" t="s">
        <v>77</v>
      </c>
      <c r="I58" s="285" t="s">
        <v>607</v>
      </c>
      <c r="J58" s="285" t="s">
        <v>165</v>
      </c>
      <c r="K58" s="286"/>
      <c r="L58" s="286" t="s">
        <v>10</v>
      </c>
      <c r="M58" s="321">
        <v>1</v>
      </c>
      <c r="N58" s="11" t="s">
        <v>77</v>
      </c>
      <c r="O58" s="11" t="s">
        <v>77</v>
      </c>
      <c r="P58" s="316" t="s">
        <v>77</v>
      </c>
      <c r="Q58" s="3">
        <v>0</v>
      </c>
      <c r="R58" s="3">
        <v>0</v>
      </c>
      <c r="S58" s="4">
        <v>0</v>
      </c>
      <c r="T58" s="4">
        <v>0</v>
      </c>
      <c r="U58" s="4">
        <v>0</v>
      </c>
      <c r="V58" s="4">
        <v>0</v>
      </c>
      <c r="W58" s="51" t="s">
        <v>77</v>
      </c>
      <c r="X58" s="51" t="s">
        <v>77</v>
      </c>
      <c r="Y58" s="150">
        <f t="shared" si="161"/>
        <v>0</v>
      </c>
      <c r="Z58" s="150">
        <f t="shared" si="162"/>
        <v>0</v>
      </c>
      <c r="AA58" s="150">
        <f t="shared" si="163"/>
        <v>0</v>
      </c>
      <c r="AB58" s="150">
        <f t="shared" si="172"/>
        <v>0</v>
      </c>
      <c r="AC58" s="150">
        <f t="shared" si="173"/>
        <v>0</v>
      </c>
      <c r="AD58" s="150">
        <f t="shared" si="166"/>
        <v>0</v>
      </c>
      <c r="AE58" s="150">
        <f t="shared" si="167"/>
        <v>0</v>
      </c>
      <c r="AF58" s="150">
        <f t="shared" si="174"/>
        <v>0</v>
      </c>
      <c r="AG58" s="150">
        <f t="shared" si="175"/>
        <v>0</v>
      </c>
      <c r="AH58" s="76">
        <v>125</v>
      </c>
      <c r="AI58" s="76">
        <v>150</v>
      </c>
      <c r="AJ58" s="76">
        <f t="shared" si="188"/>
        <v>137.5</v>
      </c>
      <c r="AK58" s="76">
        <f t="shared" si="189"/>
        <v>125</v>
      </c>
      <c r="AL58" s="76">
        <f t="shared" si="190"/>
        <v>150</v>
      </c>
      <c r="AM58" s="76">
        <f t="shared" si="147"/>
        <v>137.5</v>
      </c>
      <c r="AN58" s="108">
        <v>0.5</v>
      </c>
      <c r="AO58" s="76">
        <v>0</v>
      </c>
      <c r="AP58" s="76">
        <f t="shared" si="191"/>
        <v>175</v>
      </c>
      <c r="AQ58" s="76">
        <f t="shared" si="192"/>
        <v>210</v>
      </c>
      <c r="AR58" s="76">
        <f t="shared" si="60"/>
        <v>192.5</v>
      </c>
      <c r="AS58" s="116">
        <v>2.15</v>
      </c>
      <c r="AT58" s="116">
        <v>3.9</v>
      </c>
      <c r="AU58" s="76">
        <f t="shared" si="193"/>
        <v>3.0249999999999999</v>
      </c>
      <c r="AV58" s="76">
        <f t="shared" si="194"/>
        <v>2.15</v>
      </c>
      <c r="AW58" s="76">
        <f t="shared" si="195"/>
        <v>3.9</v>
      </c>
      <c r="AX58" s="76">
        <f t="shared" si="148"/>
        <v>3.0249999999999999</v>
      </c>
      <c r="AY58" s="51">
        <v>0</v>
      </c>
      <c r="AZ58" s="51">
        <v>0</v>
      </c>
      <c r="BA58" s="51">
        <v>0.1</v>
      </c>
      <c r="BB58" s="338" t="s">
        <v>313</v>
      </c>
      <c r="BC58" s="76">
        <f t="shared" si="196"/>
        <v>175</v>
      </c>
      <c r="BD58" s="76">
        <f t="shared" si="197"/>
        <v>210</v>
      </c>
      <c r="BE58" s="76">
        <f t="shared" si="48"/>
        <v>192.5</v>
      </c>
      <c r="BF58" s="76">
        <f t="shared" si="198"/>
        <v>2.3650000000000002</v>
      </c>
      <c r="BG58" s="76">
        <f t="shared" si="199"/>
        <v>4.29</v>
      </c>
      <c r="BH58" s="76">
        <f t="shared" si="6"/>
        <v>3.3275000000000001</v>
      </c>
      <c r="BI58" s="4">
        <v>100</v>
      </c>
      <c r="BJ58" s="76">
        <v>0</v>
      </c>
      <c r="BK58" s="76">
        <f t="shared" si="160"/>
        <v>0</v>
      </c>
      <c r="BL58" s="116">
        <f t="shared" si="153"/>
        <v>0</v>
      </c>
      <c r="BM58" s="4">
        <f t="shared" si="168"/>
        <v>0</v>
      </c>
      <c r="BN58" s="4">
        <f t="shared" si="65"/>
        <v>0</v>
      </c>
      <c r="BO58" s="4">
        <f t="shared" si="157"/>
        <v>0</v>
      </c>
      <c r="BP58" s="4">
        <f t="shared" si="66"/>
        <v>0</v>
      </c>
      <c r="BQ58" s="335">
        <f t="shared" si="169"/>
        <v>0</v>
      </c>
      <c r="BR58" s="335">
        <f t="shared" si="170"/>
        <v>0</v>
      </c>
      <c r="BS58" s="335">
        <f t="shared" si="158"/>
        <v>0</v>
      </c>
      <c r="BT58" s="335">
        <f t="shared" si="159"/>
        <v>0</v>
      </c>
      <c r="BU58" s="76">
        <f t="shared" si="154"/>
        <v>233.96800491480181</v>
      </c>
      <c r="BV58" s="116" t="s">
        <v>77</v>
      </c>
      <c r="BW58" s="88" t="s">
        <v>77</v>
      </c>
      <c r="BX58" s="88" t="s">
        <v>77</v>
      </c>
      <c r="BY58" s="89" t="s">
        <v>77</v>
      </c>
      <c r="BZ58" s="88" t="s">
        <v>77</v>
      </c>
      <c r="CA58" s="88" t="s">
        <v>77</v>
      </c>
      <c r="CB58" s="89" t="s">
        <v>77</v>
      </c>
      <c r="CC58" s="88" t="s">
        <v>77</v>
      </c>
      <c r="CD58" s="88" t="s">
        <v>77</v>
      </c>
      <c r="CE58" s="89" t="s">
        <v>77</v>
      </c>
      <c r="CF58" s="88" t="s">
        <v>77</v>
      </c>
      <c r="CG58" s="88" t="s">
        <v>77</v>
      </c>
      <c r="CH58" s="89" t="s">
        <v>77</v>
      </c>
      <c r="CI58" s="41">
        <f t="shared" si="184"/>
        <v>0</v>
      </c>
      <c r="CJ58" s="41">
        <f t="shared" si="185"/>
        <v>0</v>
      </c>
      <c r="CK58" s="41">
        <f t="shared" si="186"/>
        <v>0</v>
      </c>
      <c r="CL58" s="41">
        <f t="shared" si="187"/>
        <v>0</v>
      </c>
      <c r="CM58" s="88" t="s">
        <v>77</v>
      </c>
      <c r="CN58" s="88" t="s">
        <v>77</v>
      </c>
      <c r="CO58" s="89" t="s">
        <v>77</v>
      </c>
      <c r="CP58" s="88" t="s">
        <v>77</v>
      </c>
      <c r="CQ58" s="88" t="s">
        <v>77</v>
      </c>
      <c r="CR58" s="89" t="s">
        <v>77</v>
      </c>
      <c r="CS58" s="88" t="s">
        <v>77</v>
      </c>
      <c r="CT58" s="88" t="s">
        <v>77</v>
      </c>
      <c r="CU58" s="89" t="s">
        <v>77</v>
      </c>
      <c r="CV58" s="88" t="s">
        <v>77</v>
      </c>
      <c r="CW58" s="88" t="s">
        <v>77</v>
      </c>
      <c r="CX58" s="89" t="s">
        <v>77</v>
      </c>
      <c r="CY58" s="299" t="s">
        <v>321</v>
      </c>
      <c r="CZ58" s="298" t="s">
        <v>56</v>
      </c>
      <c r="DA58" s="298" t="s">
        <v>57</v>
      </c>
      <c r="DB58" s="298" t="s">
        <v>77</v>
      </c>
      <c r="DC58" s="298" t="s">
        <v>57</v>
      </c>
      <c r="DD58" s="285" t="s">
        <v>166</v>
      </c>
      <c r="DE58" s="285" t="s">
        <v>167</v>
      </c>
      <c r="DF58" s="298" t="s">
        <v>57</v>
      </c>
      <c r="DG58" s="298" t="s">
        <v>57</v>
      </c>
      <c r="DH58" s="298" t="s">
        <v>57</v>
      </c>
      <c r="DI58" s="298" t="s">
        <v>57</v>
      </c>
      <c r="DJ58" s="280" t="s">
        <v>77</v>
      </c>
      <c r="DK58" s="280" t="s">
        <v>77</v>
      </c>
      <c r="DL58" s="280" t="s">
        <v>77</v>
      </c>
      <c r="DM58" s="280" t="s">
        <v>77</v>
      </c>
      <c r="DN58" s="280" t="s">
        <v>77</v>
      </c>
      <c r="DO58" s="285"/>
      <c r="DP58" s="279" t="s">
        <v>159</v>
      </c>
      <c r="DQ58" s="111"/>
      <c r="DR58" s="28"/>
      <c r="DS58" s="28"/>
      <c r="DT58" s="28"/>
      <c r="DU58" s="28"/>
      <c r="DV58" s="28"/>
      <c r="DW58" s="28"/>
      <c r="DX58" s="28"/>
      <c r="DY58" s="28"/>
    </row>
    <row r="59" spans="1:129" ht="73.5" customHeight="1" x14ac:dyDescent="0.2">
      <c r="A59" s="527"/>
      <c r="B59" s="526" t="s">
        <v>37</v>
      </c>
      <c r="C59" s="479"/>
      <c r="D59" s="288">
        <v>801</v>
      </c>
      <c r="E59" s="381" t="s">
        <v>439</v>
      </c>
      <c r="F59" s="468" t="s">
        <v>168</v>
      </c>
      <c r="G59" s="468" t="s">
        <v>77</v>
      </c>
      <c r="H59" s="468" t="s">
        <v>77</v>
      </c>
      <c r="I59" s="381" t="s">
        <v>607</v>
      </c>
      <c r="J59" s="473" t="s">
        <v>165</v>
      </c>
      <c r="K59" s="303"/>
      <c r="L59" s="286" t="s">
        <v>10</v>
      </c>
      <c r="M59" s="322">
        <v>1</v>
      </c>
      <c r="N59" s="11" t="s">
        <v>77</v>
      </c>
      <c r="O59" s="11" t="s">
        <v>77</v>
      </c>
      <c r="P59" s="316" t="s">
        <v>77</v>
      </c>
      <c r="Q59" s="3">
        <v>0</v>
      </c>
      <c r="R59" s="3">
        <v>0</v>
      </c>
      <c r="S59" s="4">
        <v>0</v>
      </c>
      <c r="T59" s="4">
        <v>0</v>
      </c>
      <c r="U59" s="4">
        <v>0</v>
      </c>
      <c r="V59" s="4">
        <v>0</v>
      </c>
      <c r="W59" s="403" t="s">
        <v>77</v>
      </c>
      <c r="X59" s="403" t="s">
        <v>77</v>
      </c>
      <c r="Y59" s="150">
        <f t="shared" si="161"/>
        <v>0</v>
      </c>
      <c r="Z59" s="150">
        <f t="shared" si="162"/>
        <v>0</v>
      </c>
      <c r="AA59" s="150">
        <f t="shared" si="163"/>
        <v>0</v>
      </c>
      <c r="AB59" s="150">
        <f t="shared" si="172"/>
        <v>0</v>
      </c>
      <c r="AC59" s="150">
        <f t="shared" si="173"/>
        <v>0</v>
      </c>
      <c r="AD59" s="150">
        <f t="shared" si="166"/>
        <v>0</v>
      </c>
      <c r="AE59" s="150">
        <f t="shared" si="167"/>
        <v>0</v>
      </c>
      <c r="AF59" s="150">
        <f t="shared" si="174"/>
        <v>0</v>
      </c>
      <c r="AG59" s="150">
        <f t="shared" si="175"/>
        <v>0</v>
      </c>
      <c r="AH59" s="76">
        <v>125</v>
      </c>
      <c r="AI59" s="76">
        <v>150</v>
      </c>
      <c r="AJ59" s="76">
        <f t="shared" si="188"/>
        <v>137.5</v>
      </c>
      <c r="AK59" s="76">
        <f t="shared" si="189"/>
        <v>125</v>
      </c>
      <c r="AL59" s="76">
        <f t="shared" si="190"/>
        <v>150</v>
      </c>
      <c r="AM59" s="76">
        <f t="shared" si="147"/>
        <v>137.5</v>
      </c>
      <c r="AN59" s="108">
        <v>0.5</v>
      </c>
      <c r="AO59" s="76">
        <v>0</v>
      </c>
      <c r="AP59" s="76">
        <f t="shared" si="191"/>
        <v>175</v>
      </c>
      <c r="AQ59" s="76">
        <f t="shared" si="192"/>
        <v>210</v>
      </c>
      <c r="AR59" s="76">
        <f t="shared" si="60"/>
        <v>192.5</v>
      </c>
      <c r="AS59" s="116">
        <v>2.15</v>
      </c>
      <c r="AT59" s="116">
        <v>3.9</v>
      </c>
      <c r="AU59" s="76">
        <f t="shared" si="193"/>
        <v>3.0249999999999999</v>
      </c>
      <c r="AV59" s="76">
        <f t="shared" si="194"/>
        <v>2.15</v>
      </c>
      <c r="AW59" s="76">
        <f t="shared" si="195"/>
        <v>3.9</v>
      </c>
      <c r="AX59" s="76">
        <f t="shared" si="148"/>
        <v>3.0249999999999999</v>
      </c>
      <c r="AY59" s="51">
        <v>0</v>
      </c>
      <c r="AZ59" s="51">
        <v>0</v>
      </c>
      <c r="BA59" s="51">
        <v>0.1</v>
      </c>
      <c r="BB59" s="340" t="s">
        <v>313</v>
      </c>
      <c r="BC59" s="76">
        <f t="shared" si="196"/>
        <v>175</v>
      </c>
      <c r="BD59" s="76">
        <f t="shared" si="197"/>
        <v>210</v>
      </c>
      <c r="BE59" s="76">
        <f t="shared" si="48"/>
        <v>192.5</v>
      </c>
      <c r="BF59" s="76">
        <f t="shared" si="198"/>
        <v>2.3650000000000002</v>
      </c>
      <c r="BG59" s="76">
        <f t="shared" si="199"/>
        <v>4.29</v>
      </c>
      <c r="BH59" s="76">
        <f t="shared" si="6"/>
        <v>3.3275000000000001</v>
      </c>
      <c r="BI59" s="4">
        <v>100</v>
      </c>
      <c r="BJ59" s="76">
        <v>0</v>
      </c>
      <c r="BK59" s="76">
        <f t="shared" si="160"/>
        <v>0</v>
      </c>
      <c r="BL59" s="116">
        <f t="shared" si="153"/>
        <v>0</v>
      </c>
      <c r="BM59" s="4">
        <f t="shared" si="168"/>
        <v>0</v>
      </c>
      <c r="BN59" s="4">
        <f t="shared" si="65"/>
        <v>0</v>
      </c>
      <c r="BO59" s="4">
        <f t="shared" si="157"/>
        <v>0</v>
      </c>
      <c r="BP59" s="4">
        <f t="shared" si="66"/>
        <v>0</v>
      </c>
      <c r="BQ59" s="335">
        <f t="shared" si="169"/>
        <v>0</v>
      </c>
      <c r="BR59" s="335">
        <f t="shared" si="170"/>
        <v>0</v>
      </c>
      <c r="BS59" s="335">
        <f t="shared" si="158"/>
        <v>0</v>
      </c>
      <c r="BT59" s="335">
        <f t="shared" si="159"/>
        <v>0</v>
      </c>
      <c r="BU59" s="76">
        <f t="shared" si="154"/>
        <v>233.96800491480181</v>
      </c>
      <c r="BV59" s="116" t="s">
        <v>77</v>
      </c>
      <c r="BW59" s="88" t="s">
        <v>77</v>
      </c>
      <c r="BX59" s="88" t="s">
        <v>77</v>
      </c>
      <c r="BY59" s="89" t="s">
        <v>77</v>
      </c>
      <c r="BZ59" s="88" t="s">
        <v>77</v>
      </c>
      <c r="CA59" s="88" t="s">
        <v>77</v>
      </c>
      <c r="CB59" s="89" t="s">
        <v>77</v>
      </c>
      <c r="CC59" s="88" t="s">
        <v>77</v>
      </c>
      <c r="CD59" s="88" t="s">
        <v>77</v>
      </c>
      <c r="CE59" s="89" t="s">
        <v>77</v>
      </c>
      <c r="CF59" s="88" t="s">
        <v>77</v>
      </c>
      <c r="CG59" s="88" t="s">
        <v>77</v>
      </c>
      <c r="CH59" s="89" t="s">
        <v>77</v>
      </c>
      <c r="CI59" s="41">
        <f t="shared" si="184"/>
        <v>0</v>
      </c>
      <c r="CJ59" s="41">
        <f t="shared" si="185"/>
        <v>0</v>
      </c>
      <c r="CK59" s="41">
        <f t="shared" si="186"/>
        <v>0</v>
      </c>
      <c r="CL59" s="41">
        <f t="shared" si="187"/>
        <v>0</v>
      </c>
      <c r="CM59" s="88" t="s">
        <v>77</v>
      </c>
      <c r="CN59" s="88" t="s">
        <v>77</v>
      </c>
      <c r="CO59" s="89" t="s">
        <v>77</v>
      </c>
      <c r="CP59" s="88" t="s">
        <v>77</v>
      </c>
      <c r="CQ59" s="88" t="s">
        <v>77</v>
      </c>
      <c r="CR59" s="89" t="s">
        <v>77</v>
      </c>
      <c r="CS59" s="88" t="s">
        <v>77</v>
      </c>
      <c r="CT59" s="88" t="s">
        <v>77</v>
      </c>
      <c r="CU59" s="89" t="s">
        <v>77</v>
      </c>
      <c r="CV59" s="88" t="s">
        <v>77</v>
      </c>
      <c r="CW59" s="88" t="s">
        <v>77</v>
      </c>
      <c r="CX59" s="89" t="s">
        <v>77</v>
      </c>
      <c r="CY59" s="425" t="s">
        <v>321</v>
      </c>
      <c r="CZ59" s="414" t="s">
        <v>56</v>
      </c>
      <c r="DA59" s="377" t="s">
        <v>57</v>
      </c>
      <c r="DB59" s="377" t="s">
        <v>77</v>
      </c>
      <c r="DC59" s="377" t="s">
        <v>57</v>
      </c>
      <c r="DD59" s="473" t="s">
        <v>169</v>
      </c>
      <c r="DE59" s="473" t="s">
        <v>271</v>
      </c>
      <c r="DF59" s="298" t="s">
        <v>57</v>
      </c>
      <c r="DG59" s="298" t="s">
        <v>57</v>
      </c>
      <c r="DH59" s="298" t="s">
        <v>57</v>
      </c>
      <c r="DI59" s="298" t="s">
        <v>57</v>
      </c>
      <c r="DJ59" s="280" t="s">
        <v>77</v>
      </c>
      <c r="DK59" s="280" t="s">
        <v>77</v>
      </c>
      <c r="DL59" s="280" t="s">
        <v>77</v>
      </c>
      <c r="DM59" s="280" t="s">
        <v>77</v>
      </c>
      <c r="DN59" s="280" t="s">
        <v>77</v>
      </c>
      <c r="DO59" s="468"/>
      <c r="DP59" s="455" t="s">
        <v>159</v>
      </c>
      <c r="DQ59" s="111"/>
      <c r="DR59" s="28"/>
      <c r="DS59" s="28"/>
      <c r="DT59" s="28"/>
      <c r="DU59" s="28"/>
      <c r="DV59" s="28"/>
      <c r="DW59" s="28"/>
      <c r="DX59" s="28"/>
      <c r="DY59" s="28"/>
    </row>
    <row r="60" spans="1:129" x14ac:dyDescent="0.2">
      <c r="A60" s="527"/>
      <c r="B60" s="526"/>
      <c r="C60" s="480"/>
      <c r="D60" s="289">
        <v>802</v>
      </c>
      <c r="E60" s="482"/>
      <c r="F60" s="468"/>
      <c r="G60" s="468"/>
      <c r="H60" s="468"/>
      <c r="I60" s="482"/>
      <c r="J60" s="473"/>
      <c r="K60" s="261"/>
      <c r="L60" s="280" t="s">
        <v>244</v>
      </c>
      <c r="M60" s="322">
        <v>1</v>
      </c>
      <c r="N60" s="11" t="s">
        <v>77</v>
      </c>
      <c r="O60" s="11" t="s">
        <v>77</v>
      </c>
      <c r="P60" s="316" t="s">
        <v>77</v>
      </c>
      <c r="Q60" s="3">
        <v>0</v>
      </c>
      <c r="R60" s="3">
        <v>0</v>
      </c>
      <c r="S60" s="4">
        <v>0</v>
      </c>
      <c r="T60" s="4">
        <v>0</v>
      </c>
      <c r="U60" s="4">
        <v>0</v>
      </c>
      <c r="V60" s="4">
        <v>0</v>
      </c>
      <c r="W60" s="599"/>
      <c r="X60" s="599"/>
      <c r="Y60" s="150">
        <f t="shared" si="161"/>
        <v>0</v>
      </c>
      <c r="Z60" s="150">
        <f t="shared" si="162"/>
        <v>0</v>
      </c>
      <c r="AA60" s="150">
        <f t="shared" si="163"/>
        <v>0</v>
      </c>
      <c r="AB60" s="150">
        <f t="shared" si="172"/>
        <v>0</v>
      </c>
      <c r="AC60" s="150">
        <f t="shared" si="173"/>
        <v>0</v>
      </c>
      <c r="AD60" s="150">
        <f t="shared" si="166"/>
        <v>0</v>
      </c>
      <c r="AE60" s="150">
        <f t="shared" si="167"/>
        <v>0</v>
      </c>
      <c r="AF60" s="150">
        <f t="shared" si="174"/>
        <v>0</v>
      </c>
      <c r="AG60" s="150">
        <f t="shared" si="175"/>
        <v>0</v>
      </c>
      <c r="AH60" s="76">
        <v>10000</v>
      </c>
      <c r="AI60" s="76">
        <v>15000</v>
      </c>
      <c r="AJ60" s="76">
        <f t="shared" si="188"/>
        <v>12500</v>
      </c>
      <c r="AK60" s="76">
        <f t="shared" si="189"/>
        <v>10000</v>
      </c>
      <c r="AL60" s="76">
        <f t="shared" si="190"/>
        <v>15000</v>
      </c>
      <c r="AM60" s="76">
        <f t="shared" si="147"/>
        <v>12500</v>
      </c>
      <c r="AN60" s="108">
        <v>0.4</v>
      </c>
      <c r="AO60" s="76">
        <v>0</v>
      </c>
      <c r="AP60" s="76">
        <f t="shared" si="191"/>
        <v>14000</v>
      </c>
      <c r="AQ60" s="76">
        <f t="shared" si="192"/>
        <v>21000</v>
      </c>
      <c r="AR60" s="76">
        <f t="shared" si="60"/>
        <v>17500</v>
      </c>
      <c r="AS60" s="116">
        <v>60</v>
      </c>
      <c r="AT60" s="116">
        <v>80</v>
      </c>
      <c r="AU60" s="76">
        <f t="shared" si="193"/>
        <v>70</v>
      </c>
      <c r="AV60" s="116">
        <f t="shared" si="194"/>
        <v>60</v>
      </c>
      <c r="AW60" s="116">
        <f t="shared" si="195"/>
        <v>80</v>
      </c>
      <c r="AX60" s="116">
        <f t="shared" si="148"/>
        <v>70</v>
      </c>
      <c r="AY60" s="51">
        <v>0</v>
      </c>
      <c r="AZ60" s="51">
        <v>0</v>
      </c>
      <c r="BA60" s="51">
        <v>0</v>
      </c>
      <c r="BB60" s="338"/>
      <c r="BC60" s="76">
        <f t="shared" si="196"/>
        <v>14000</v>
      </c>
      <c r="BD60" s="76">
        <f t="shared" si="197"/>
        <v>21000</v>
      </c>
      <c r="BE60" s="76">
        <f t="shared" si="48"/>
        <v>17500</v>
      </c>
      <c r="BF60" s="76">
        <f t="shared" si="198"/>
        <v>60</v>
      </c>
      <c r="BG60" s="76">
        <f t="shared" si="199"/>
        <v>80</v>
      </c>
      <c r="BH60" s="76">
        <f t="shared" si="6"/>
        <v>70</v>
      </c>
      <c r="BI60" s="4">
        <v>10</v>
      </c>
      <c r="BJ60" s="76">
        <v>2500</v>
      </c>
      <c r="BK60" s="76">
        <f t="shared" si="160"/>
        <v>5000</v>
      </c>
      <c r="BL60" s="116">
        <f t="shared" si="153"/>
        <v>2477.0068410344002</v>
      </c>
      <c r="BM60" s="4">
        <f t="shared" si="168"/>
        <v>0</v>
      </c>
      <c r="BN60" s="4">
        <f t="shared" si="65"/>
        <v>0</v>
      </c>
      <c r="BO60" s="4">
        <f t="shared" si="157"/>
        <v>0</v>
      </c>
      <c r="BP60" s="4">
        <f t="shared" si="66"/>
        <v>0</v>
      </c>
      <c r="BQ60" s="335">
        <f t="shared" si="169"/>
        <v>0</v>
      </c>
      <c r="BR60" s="335">
        <f t="shared" si="170"/>
        <v>0</v>
      </c>
      <c r="BS60" s="335">
        <f t="shared" si="158"/>
        <v>0</v>
      </c>
      <c r="BT60" s="335">
        <f t="shared" si="159"/>
        <v>0</v>
      </c>
      <c r="BU60" s="76">
        <f t="shared" si="154"/>
        <v>18372.354723977798</v>
      </c>
      <c r="BV60" s="116" t="s">
        <v>77</v>
      </c>
      <c r="BW60" s="88" t="s">
        <v>77</v>
      </c>
      <c r="BX60" s="88" t="s">
        <v>77</v>
      </c>
      <c r="BY60" s="89" t="s">
        <v>77</v>
      </c>
      <c r="BZ60" s="88" t="s">
        <v>77</v>
      </c>
      <c r="CA60" s="88" t="s">
        <v>77</v>
      </c>
      <c r="CB60" s="89" t="s">
        <v>77</v>
      </c>
      <c r="CC60" s="88" t="s">
        <v>77</v>
      </c>
      <c r="CD60" s="88" t="s">
        <v>77</v>
      </c>
      <c r="CE60" s="89" t="s">
        <v>77</v>
      </c>
      <c r="CF60" s="88" t="s">
        <v>77</v>
      </c>
      <c r="CG60" s="88" t="s">
        <v>77</v>
      </c>
      <c r="CH60" s="89" t="s">
        <v>77</v>
      </c>
      <c r="CI60" s="41">
        <f t="shared" si="184"/>
        <v>0</v>
      </c>
      <c r="CJ60" s="41">
        <f t="shared" si="185"/>
        <v>0</v>
      </c>
      <c r="CK60" s="41">
        <f t="shared" si="186"/>
        <v>0</v>
      </c>
      <c r="CL60" s="41">
        <f t="shared" si="187"/>
        <v>0</v>
      </c>
      <c r="CM60" s="88" t="s">
        <v>77</v>
      </c>
      <c r="CN60" s="88" t="s">
        <v>77</v>
      </c>
      <c r="CO60" s="89" t="s">
        <v>77</v>
      </c>
      <c r="CP60" s="88" t="s">
        <v>77</v>
      </c>
      <c r="CQ60" s="88" t="s">
        <v>77</v>
      </c>
      <c r="CR60" s="89" t="s">
        <v>77</v>
      </c>
      <c r="CS60" s="88" t="s">
        <v>77</v>
      </c>
      <c r="CT60" s="88" t="s">
        <v>77</v>
      </c>
      <c r="CU60" s="89" t="s">
        <v>77</v>
      </c>
      <c r="CV60" s="88" t="s">
        <v>77</v>
      </c>
      <c r="CW60" s="88" t="s">
        <v>77</v>
      </c>
      <c r="CX60" s="89" t="s">
        <v>77</v>
      </c>
      <c r="CY60" s="425"/>
      <c r="CZ60" s="414"/>
      <c r="DA60" s="432"/>
      <c r="DB60" s="432"/>
      <c r="DC60" s="432"/>
      <c r="DD60" s="473"/>
      <c r="DE60" s="473"/>
      <c r="DF60" s="298" t="s">
        <v>57</v>
      </c>
      <c r="DG60" s="298" t="s">
        <v>57</v>
      </c>
      <c r="DH60" s="298" t="s">
        <v>57</v>
      </c>
      <c r="DI60" s="298" t="s">
        <v>57</v>
      </c>
      <c r="DJ60" s="280" t="s">
        <v>77</v>
      </c>
      <c r="DK60" s="280" t="s">
        <v>77</v>
      </c>
      <c r="DL60" s="280" t="s">
        <v>77</v>
      </c>
      <c r="DM60" s="280" t="s">
        <v>77</v>
      </c>
      <c r="DN60" s="280" t="s">
        <v>77</v>
      </c>
      <c r="DO60" s="468"/>
      <c r="DP60" s="455"/>
      <c r="DQ60" s="111"/>
      <c r="DR60" s="28"/>
      <c r="DS60" s="28"/>
      <c r="DT60" s="28"/>
      <c r="DU60" s="28"/>
      <c r="DV60" s="28"/>
      <c r="DW60" s="28"/>
      <c r="DX60" s="28"/>
      <c r="DY60" s="28"/>
    </row>
    <row r="61" spans="1:129" ht="168.75" customHeight="1" x14ac:dyDescent="0.2">
      <c r="A61" s="527"/>
      <c r="B61" s="526"/>
      <c r="C61" s="481"/>
      <c r="D61" s="290">
        <v>803</v>
      </c>
      <c r="E61" s="382"/>
      <c r="F61" s="468"/>
      <c r="G61" s="468"/>
      <c r="H61" s="468"/>
      <c r="I61" s="382"/>
      <c r="J61" s="473"/>
      <c r="K61" s="304"/>
      <c r="L61" s="63" t="s">
        <v>170</v>
      </c>
      <c r="M61" s="321">
        <v>1</v>
      </c>
      <c r="N61" s="11" t="s">
        <v>77</v>
      </c>
      <c r="O61" s="11" t="s">
        <v>77</v>
      </c>
      <c r="P61" s="316" t="s">
        <v>77</v>
      </c>
      <c r="Q61" s="3">
        <v>0</v>
      </c>
      <c r="R61" s="3">
        <v>0</v>
      </c>
      <c r="S61" s="4">
        <v>0</v>
      </c>
      <c r="T61" s="4">
        <v>0</v>
      </c>
      <c r="U61" s="4">
        <v>0</v>
      </c>
      <c r="V61" s="4">
        <v>0</v>
      </c>
      <c r="W61" s="404"/>
      <c r="X61" s="404"/>
      <c r="Y61" s="150">
        <f t="shared" si="161"/>
        <v>0</v>
      </c>
      <c r="Z61" s="150">
        <f t="shared" si="162"/>
        <v>0</v>
      </c>
      <c r="AA61" s="150">
        <f t="shared" si="163"/>
        <v>0</v>
      </c>
      <c r="AB61" s="150">
        <f t="shared" si="172"/>
        <v>0</v>
      </c>
      <c r="AC61" s="150">
        <f t="shared" si="173"/>
        <v>0</v>
      </c>
      <c r="AD61" s="150">
        <f t="shared" si="166"/>
        <v>0</v>
      </c>
      <c r="AE61" s="150">
        <f t="shared" si="167"/>
        <v>0</v>
      </c>
      <c r="AF61" s="150">
        <f t="shared" si="174"/>
        <v>0</v>
      </c>
      <c r="AG61" s="150">
        <f t="shared" si="175"/>
        <v>0</v>
      </c>
      <c r="AH61" s="76">
        <v>1000</v>
      </c>
      <c r="AI61" s="76">
        <v>7500</v>
      </c>
      <c r="AJ61" s="76">
        <f t="shared" si="188"/>
        <v>4250</v>
      </c>
      <c r="AK61" s="76">
        <f t="shared" si="189"/>
        <v>1000</v>
      </c>
      <c r="AL61" s="76">
        <f t="shared" si="190"/>
        <v>7500</v>
      </c>
      <c r="AM61" s="76">
        <f t="shared" si="147"/>
        <v>4250</v>
      </c>
      <c r="AN61" s="108">
        <v>0.55000000000000004</v>
      </c>
      <c r="AO61" s="76">
        <v>0</v>
      </c>
      <c r="AP61" s="76">
        <f t="shared" si="191"/>
        <v>1400</v>
      </c>
      <c r="AQ61" s="76">
        <f t="shared" si="192"/>
        <v>10500</v>
      </c>
      <c r="AR61" s="76">
        <f t="shared" si="60"/>
        <v>5950</v>
      </c>
      <c r="AS61" s="210">
        <v>2</v>
      </c>
      <c r="AT61" s="210">
        <v>4</v>
      </c>
      <c r="AU61" s="89">
        <f t="shared" si="193"/>
        <v>3</v>
      </c>
      <c r="AV61" s="210">
        <f t="shared" si="194"/>
        <v>2</v>
      </c>
      <c r="AW61" s="210">
        <f t="shared" si="195"/>
        <v>4</v>
      </c>
      <c r="AX61" s="210">
        <f t="shared" si="148"/>
        <v>3</v>
      </c>
      <c r="AY61" s="51">
        <v>0</v>
      </c>
      <c r="AZ61" s="51">
        <v>-0.2</v>
      </c>
      <c r="BA61" s="51">
        <v>0</v>
      </c>
      <c r="BB61" s="338" t="s">
        <v>311</v>
      </c>
      <c r="BC61" s="76">
        <f t="shared" si="196"/>
        <v>1120</v>
      </c>
      <c r="BD61" s="76">
        <f t="shared" si="197"/>
        <v>8400</v>
      </c>
      <c r="BE61" s="76">
        <f t="shared" si="48"/>
        <v>4760</v>
      </c>
      <c r="BF61" s="116">
        <f t="shared" si="198"/>
        <v>2</v>
      </c>
      <c r="BG61" s="116">
        <f t="shared" si="199"/>
        <v>4</v>
      </c>
      <c r="BH61" s="116">
        <f t="shared" si="6"/>
        <v>3</v>
      </c>
      <c r="BI61" s="4">
        <v>100</v>
      </c>
      <c r="BJ61" s="76">
        <v>0</v>
      </c>
      <c r="BK61" s="76">
        <f t="shared" si="160"/>
        <v>0</v>
      </c>
      <c r="BL61" s="116">
        <f t="shared" si="153"/>
        <v>0</v>
      </c>
      <c r="BM61" s="4">
        <f t="shared" si="168"/>
        <v>0</v>
      </c>
      <c r="BN61" s="4">
        <f t="shared" si="65"/>
        <v>0</v>
      </c>
      <c r="BO61" s="4">
        <f t="shared" si="157"/>
        <v>0</v>
      </c>
      <c r="BP61" s="4">
        <f t="shared" si="66"/>
        <v>0</v>
      </c>
      <c r="BQ61" s="335">
        <f t="shared" si="169"/>
        <v>0</v>
      </c>
      <c r="BR61" s="335">
        <f t="shared" si="170"/>
        <v>0</v>
      </c>
      <c r="BS61" s="335">
        <f t="shared" si="158"/>
        <v>0</v>
      </c>
      <c r="BT61" s="335">
        <f t="shared" si="159"/>
        <v>0</v>
      </c>
      <c r="BU61" s="76">
        <f t="shared" si="154"/>
        <v>4797.3866310276198</v>
      </c>
      <c r="BV61" s="116" t="s">
        <v>77</v>
      </c>
      <c r="BW61" s="88" t="s">
        <v>77</v>
      </c>
      <c r="BX61" s="88" t="s">
        <v>77</v>
      </c>
      <c r="BY61" s="89" t="s">
        <v>77</v>
      </c>
      <c r="BZ61" s="88" t="s">
        <v>77</v>
      </c>
      <c r="CA61" s="88" t="s">
        <v>77</v>
      </c>
      <c r="CB61" s="89" t="s">
        <v>77</v>
      </c>
      <c r="CC61" s="88" t="s">
        <v>77</v>
      </c>
      <c r="CD61" s="88" t="s">
        <v>77</v>
      </c>
      <c r="CE61" s="89" t="s">
        <v>77</v>
      </c>
      <c r="CF61" s="88" t="s">
        <v>77</v>
      </c>
      <c r="CG61" s="88" t="s">
        <v>77</v>
      </c>
      <c r="CH61" s="89" t="s">
        <v>77</v>
      </c>
      <c r="CI61" s="41">
        <f t="shared" si="184"/>
        <v>0</v>
      </c>
      <c r="CJ61" s="41">
        <f t="shared" si="185"/>
        <v>0</v>
      </c>
      <c r="CK61" s="41">
        <f t="shared" si="186"/>
        <v>0</v>
      </c>
      <c r="CL61" s="41">
        <f t="shared" si="187"/>
        <v>0</v>
      </c>
      <c r="CM61" s="88" t="s">
        <v>77</v>
      </c>
      <c r="CN61" s="88" t="s">
        <v>77</v>
      </c>
      <c r="CO61" s="89" t="s">
        <v>77</v>
      </c>
      <c r="CP61" s="88" t="s">
        <v>77</v>
      </c>
      <c r="CQ61" s="88" t="s">
        <v>77</v>
      </c>
      <c r="CR61" s="89" t="s">
        <v>77</v>
      </c>
      <c r="CS61" s="88" t="s">
        <v>77</v>
      </c>
      <c r="CT61" s="88" t="s">
        <v>77</v>
      </c>
      <c r="CU61" s="89" t="s">
        <v>77</v>
      </c>
      <c r="CV61" s="88" t="s">
        <v>77</v>
      </c>
      <c r="CW61" s="88" t="s">
        <v>77</v>
      </c>
      <c r="CX61" s="89" t="s">
        <v>77</v>
      </c>
      <c r="CY61" s="425"/>
      <c r="CZ61" s="414"/>
      <c r="DA61" s="378"/>
      <c r="DB61" s="378"/>
      <c r="DC61" s="378"/>
      <c r="DD61" s="473"/>
      <c r="DE61" s="473"/>
      <c r="DF61" s="298" t="s">
        <v>57</v>
      </c>
      <c r="DG61" s="298" t="s">
        <v>57</v>
      </c>
      <c r="DH61" s="298" t="s">
        <v>57</v>
      </c>
      <c r="DI61" s="298" t="s">
        <v>57</v>
      </c>
      <c r="DJ61" s="280" t="s">
        <v>77</v>
      </c>
      <c r="DK61" s="280" t="s">
        <v>77</v>
      </c>
      <c r="DL61" s="280" t="s">
        <v>77</v>
      </c>
      <c r="DM61" s="280" t="s">
        <v>77</v>
      </c>
      <c r="DN61" s="280" t="s">
        <v>77</v>
      </c>
      <c r="DO61" s="468"/>
      <c r="DP61" s="455"/>
      <c r="DQ61" s="109"/>
      <c r="DR61" s="29"/>
      <c r="DS61" s="29"/>
      <c r="DT61" s="29"/>
      <c r="DU61" s="29"/>
      <c r="DV61" s="29"/>
      <c r="DW61" s="29"/>
      <c r="DX61" s="29"/>
      <c r="DY61" s="29"/>
    </row>
    <row r="62" spans="1:129" ht="235.5" customHeight="1" x14ac:dyDescent="0.2">
      <c r="A62" s="527" t="s">
        <v>44</v>
      </c>
      <c r="B62" s="294" t="s">
        <v>292</v>
      </c>
      <c r="C62" s="84"/>
      <c r="D62" s="241">
        <v>804</v>
      </c>
      <c r="E62" s="64" t="s">
        <v>330</v>
      </c>
      <c r="F62" s="286" t="s">
        <v>293</v>
      </c>
      <c r="G62" s="286" t="s">
        <v>77</v>
      </c>
      <c r="H62" s="286" t="s">
        <v>77</v>
      </c>
      <c r="I62" s="285" t="s">
        <v>601</v>
      </c>
      <c r="J62" s="279" t="s">
        <v>153</v>
      </c>
      <c r="K62" s="262"/>
      <c r="L62" s="63" t="s">
        <v>38</v>
      </c>
      <c r="M62" s="321">
        <v>1</v>
      </c>
      <c r="N62" s="11" t="s">
        <v>77</v>
      </c>
      <c r="O62" s="11" t="s">
        <v>77</v>
      </c>
      <c r="P62" s="316" t="s">
        <v>77</v>
      </c>
      <c r="Q62" s="103">
        <v>40</v>
      </c>
      <c r="R62" s="103">
        <v>8</v>
      </c>
      <c r="S62" s="4"/>
      <c r="T62" s="4"/>
      <c r="U62" s="4"/>
      <c r="V62" s="4"/>
      <c r="W62" s="51"/>
      <c r="X62" s="51" t="s">
        <v>77</v>
      </c>
      <c r="Y62" s="150">
        <f t="shared" si="161"/>
        <v>0</v>
      </c>
      <c r="Z62" s="150">
        <f t="shared" si="162"/>
        <v>0</v>
      </c>
      <c r="AA62" s="150">
        <f t="shared" si="163"/>
        <v>0</v>
      </c>
      <c r="AB62" s="150">
        <f t="shared" si="172"/>
        <v>0</v>
      </c>
      <c r="AC62" s="150">
        <f t="shared" si="173"/>
        <v>0</v>
      </c>
      <c r="AD62" s="150">
        <f t="shared" si="166"/>
        <v>0</v>
      </c>
      <c r="AE62" s="150">
        <f t="shared" si="167"/>
        <v>0</v>
      </c>
      <c r="AF62" s="150">
        <f t="shared" si="174"/>
        <v>0</v>
      </c>
      <c r="AG62" s="150">
        <f t="shared" si="175"/>
        <v>0</v>
      </c>
      <c r="AH62" s="89">
        <v>1.5</v>
      </c>
      <c r="AI62" s="89">
        <v>2.5</v>
      </c>
      <c r="AJ62" s="89">
        <f t="shared" si="188"/>
        <v>2</v>
      </c>
      <c r="AK62" s="89">
        <f t="shared" si="189"/>
        <v>1.5</v>
      </c>
      <c r="AL62" s="89">
        <f t="shared" si="190"/>
        <v>2.5</v>
      </c>
      <c r="AM62" s="89">
        <f t="shared" si="147"/>
        <v>2</v>
      </c>
      <c r="AN62" s="108">
        <v>0.85</v>
      </c>
      <c r="AO62" s="108"/>
      <c r="AP62" s="89">
        <f>AK62*(1+$AN$2)</f>
        <v>2.0999999999999996</v>
      </c>
      <c r="AQ62" s="89">
        <f>AL62*(1+$AN$2)</f>
        <v>3.5</v>
      </c>
      <c r="AR62" s="89">
        <f t="shared" si="60"/>
        <v>2.8</v>
      </c>
      <c r="AS62" s="89">
        <v>1</v>
      </c>
      <c r="AT62" s="89">
        <v>2</v>
      </c>
      <c r="AU62" s="89">
        <f t="shared" si="193"/>
        <v>1.5</v>
      </c>
      <c r="AV62" s="210">
        <f t="shared" si="194"/>
        <v>1</v>
      </c>
      <c r="AW62" s="210">
        <f t="shared" si="195"/>
        <v>2</v>
      </c>
      <c r="AX62" s="210">
        <f t="shared" si="148"/>
        <v>1.5</v>
      </c>
      <c r="AY62" s="51">
        <v>0</v>
      </c>
      <c r="AZ62" s="51">
        <v>0</v>
      </c>
      <c r="BA62" s="51">
        <v>0</v>
      </c>
      <c r="BB62" s="338"/>
      <c r="BC62" s="76">
        <f t="shared" si="196"/>
        <v>2.0999999999999996</v>
      </c>
      <c r="BD62" s="76">
        <f t="shared" si="197"/>
        <v>3.5</v>
      </c>
      <c r="BE62" s="76">
        <f t="shared" si="48"/>
        <v>2.8</v>
      </c>
      <c r="BF62" s="116">
        <f t="shared" ref="BF62" si="200">AV62*(1+$BA62)</f>
        <v>1</v>
      </c>
      <c r="BG62" s="116">
        <f t="shared" ref="BG62" si="201">AW62*(1+$BA62)</f>
        <v>2</v>
      </c>
      <c r="BH62" s="116">
        <f t="shared" si="6"/>
        <v>1.5</v>
      </c>
      <c r="BI62" s="4">
        <v>20</v>
      </c>
      <c r="BJ62" s="76">
        <v>5</v>
      </c>
      <c r="BK62" s="76">
        <f t="shared" si="160"/>
        <v>5</v>
      </c>
      <c r="BL62" s="116">
        <f t="shared" si="153"/>
        <v>1.884447414365003</v>
      </c>
      <c r="BM62" s="4">
        <f t="shared" si="168"/>
        <v>0</v>
      </c>
      <c r="BN62" s="4">
        <f t="shared" si="65"/>
        <v>0</v>
      </c>
      <c r="BO62" s="4">
        <f t="shared" si="157"/>
        <v>0</v>
      </c>
      <c r="BP62" s="4">
        <f t="shared" si="66"/>
        <v>0</v>
      </c>
      <c r="BQ62" s="335">
        <f t="shared" si="169"/>
        <v>0</v>
      </c>
      <c r="BR62" s="335">
        <f t="shared" si="170"/>
        <v>0</v>
      </c>
      <c r="BS62" s="335">
        <f t="shared" si="158"/>
        <v>0</v>
      </c>
      <c r="BT62" s="335">
        <f t="shared" si="159"/>
        <v>0</v>
      </c>
      <c r="BU62" s="76">
        <f t="shared" si="154"/>
        <v>21.493315513809979</v>
      </c>
      <c r="BV62" s="116" t="s">
        <v>77</v>
      </c>
      <c r="BW62" s="88" t="s">
        <v>77</v>
      </c>
      <c r="BX62" s="88" t="s">
        <v>77</v>
      </c>
      <c r="BY62" s="89" t="s">
        <v>77</v>
      </c>
      <c r="BZ62" s="88" t="s">
        <v>77</v>
      </c>
      <c r="CA62" s="88" t="s">
        <v>77</v>
      </c>
      <c r="CB62" s="89" t="s">
        <v>77</v>
      </c>
      <c r="CC62" s="88" t="s">
        <v>77</v>
      </c>
      <c r="CD62" s="88" t="s">
        <v>77</v>
      </c>
      <c r="CE62" s="89" t="s">
        <v>77</v>
      </c>
      <c r="CF62" s="88" t="s">
        <v>77</v>
      </c>
      <c r="CG62" s="88" t="s">
        <v>77</v>
      </c>
      <c r="CH62" s="89" t="s">
        <v>77</v>
      </c>
      <c r="CI62" s="41">
        <f t="shared" si="184"/>
        <v>0</v>
      </c>
      <c r="CJ62" s="41">
        <f t="shared" si="185"/>
        <v>0</v>
      </c>
      <c r="CK62" s="41">
        <f t="shared" si="186"/>
        <v>0</v>
      </c>
      <c r="CL62" s="41">
        <f t="shared" si="187"/>
        <v>0</v>
      </c>
      <c r="CM62" s="88" t="s">
        <v>77</v>
      </c>
      <c r="CN62" s="88" t="s">
        <v>77</v>
      </c>
      <c r="CO62" s="89" t="s">
        <v>77</v>
      </c>
      <c r="CP62" s="88" t="s">
        <v>77</v>
      </c>
      <c r="CQ62" s="88" t="s">
        <v>77</v>
      </c>
      <c r="CR62" s="89" t="s">
        <v>77</v>
      </c>
      <c r="CS62" s="88" t="s">
        <v>77</v>
      </c>
      <c r="CT62" s="88" t="s">
        <v>77</v>
      </c>
      <c r="CU62" s="89" t="s">
        <v>77</v>
      </c>
      <c r="CV62" s="88" t="s">
        <v>77</v>
      </c>
      <c r="CW62" s="88" t="s">
        <v>77</v>
      </c>
      <c r="CX62" s="89" t="s">
        <v>77</v>
      </c>
      <c r="CY62" s="299" t="s">
        <v>122</v>
      </c>
      <c r="CZ62" s="298" t="s">
        <v>57</v>
      </c>
      <c r="DA62" s="298" t="s">
        <v>57</v>
      </c>
      <c r="DB62" s="298" t="s">
        <v>77</v>
      </c>
      <c r="DC62" s="298" t="s">
        <v>57</v>
      </c>
      <c r="DD62" s="285"/>
      <c r="DE62" s="285"/>
      <c r="DF62" s="298" t="s">
        <v>57</v>
      </c>
      <c r="DG62" s="298" t="s">
        <v>57</v>
      </c>
      <c r="DH62" s="298" t="s">
        <v>57</v>
      </c>
      <c r="DI62" s="298" t="s">
        <v>57</v>
      </c>
      <c r="DJ62" s="279" t="s">
        <v>77</v>
      </c>
      <c r="DK62" s="279" t="s">
        <v>77</v>
      </c>
      <c r="DL62" s="280" t="s">
        <v>77</v>
      </c>
      <c r="DM62" s="82"/>
      <c r="DN62" s="82"/>
      <c r="DO62" s="286"/>
      <c r="DP62" s="279"/>
      <c r="DQ62" s="109"/>
      <c r="DR62" s="29"/>
      <c r="DS62" s="29"/>
      <c r="DT62" s="29"/>
      <c r="DU62" s="29"/>
      <c r="DV62" s="29"/>
      <c r="DW62" s="29"/>
      <c r="DX62" s="29"/>
      <c r="DY62" s="29"/>
    </row>
    <row r="63" spans="1:129" ht="198" customHeight="1" x14ac:dyDescent="0.2">
      <c r="A63" s="527"/>
      <c r="B63" s="294" t="s">
        <v>171</v>
      </c>
      <c r="C63" s="84"/>
      <c r="D63" s="241">
        <v>805</v>
      </c>
      <c r="E63" s="75" t="s">
        <v>440</v>
      </c>
      <c r="F63" s="286" t="s">
        <v>84</v>
      </c>
      <c r="G63" s="286" t="s">
        <v>77</v>
      </c>
      <c r="H63" s="286" t="s">
        <v>77</v>
      </c>
      <c r="I63" s="285" t="s">
        <v>608</v>
      </c>
      <c r="J63" s="285" t="s">
        <v>172</v>
      </c>
      <c r="K63" s="263"/>
      <c r="L63" s="280" t="s">
        <v>38</v>
      </c>
      <c r="M63" s="321">
        <v>1</v>
      </c>
      <c r="N63" s="11" t="s">
        <v>77</v>
      </c>
      <c r="O63" s="11" t="s">
        <v>77</v>
      </c>
      <c r="P63" s="316" t="s">
        <v>77</v>
      </c>
      <c r="Q63" s="3">
        <v>0</v>
      </c>
      <c r="R63" s="3">
        <v>0</v>
      </c>
      <c r="S63" s="4">
        <v>0</v>
      </c>
      <c r="T63" s="4">
        <v>0</v>
      </c>
      <c r="U63" s="4">
        <v>0</v>
      </c>
      <c r="V63" s="4">
        <v>0</v>
      </c>
      <c r="W63" s="51" t="s">
        <v>77</v>
      </c>
      <c r="X63" s="51" t="s">
        <v>77</v>
      </c>
      <c r="Y63" s="150">
        <f t="shared" si="161"/>
        <v>0</v>
      </c>
      <c r="Z63" s="150">
        <f t="shared" si="162"/>
        <v>0</v>
      </c>
      <c r="AA63" s="150">
        <f t="shared" si="163"/>
        <v>0</v>
      </c>
      <c r="AB63" s="150">
        <f t="shared" si="172"/>
        <v>0</v>
      </c>
      <c r="AC63" s="150">
        <f t="shared" si="173"/>
        <v>0</v>
      </c>
      <c r="AD63" s="150">
        <f t="shared" si="166"/>
        <v>0</v>
      </c>
      <c r="AE63" s="150">
        <f t="shared" si="167"/>
        <v>0</v>
      </c>
      <c r="AF63" s="150">
        <f t="shared" si="174"/>
        <v>0</v>
      </c>
      <c r="AG63" s="150">
        <f t="shared" si="175"/>
        <v>0</v>
      </c>
      <c r="AH63" s="89">
        <v>3</v>
      </c>
      <c r="AI63" s="89">
        <v>5</v>
      </c>
      <c r="AJ63" s="89">
        <f t="shared" si="188"/>
        <v>4</v>
      </c>
      <c r="AK63" s="89">
        <f t="shared" si="189"/>
        <v>3</v>
      </c>
      <c r="AL63" s="89">
        <f t="shared" si="190"/>
        <v>5</v>
      </c>
      <c r="AM63" s="89">
        <f t="shared" si="147"/>
        <v>4</v>
      </c>
      <c r="AN63" s="108">
        <v>0.8</v>
      </c>
      <c r="AO63" s="6">
        <f>$AA$111/43560</f>
        <v>5.7392102846648303</v>
      </c>
      <c r="AP63" s="89">
        <f>(AK63*(1+$AN$2))+AO63</f>
        <v>9.9392102846648296</v>
      </c>
      <c r="AQ63" s="89">
        <f>(AL63*(1+$AN$2))+AO63</f>
        <v>12.73921028466483</v>
      </c>
      <c r="AR63" s="89">
        <f t="shared" si="60"/>
        <v>11.33921028466483</v>
      </c>
      <c r="AS63" s="210">
        <v>5</v>
      </c>
      <c r="AT63" s="210">
        <v>10</v>
      </c>
      <c r="AU63" s="89">
        <f t="shared" si="193"/>
        <v>7.5</v>
      </c>
      <c r="AV63" s="210">
        <f t="shared" si="194"/>
        <v>5</v>
      </c>
      <c r="AW63" s="210">
        <f t="shared" si="195"/>
        <v>10</v>
      </c>
      <c r="AX63" s="210">
        <f t="shared" si="148"/>
        <v>7.5</v>
      </c>
      <c r="AY63" s="51">
        <v>0</v>
      </c>
      <c r="AZ63" s="51">
        <v>0.2</v>
      </c>
      <c r="BA63" s="51">
        <v>0</v>
      </c>
      <c r="BB63" s="338" t="s">
        <v>312</v>
      </c>
      <c r="BC63" s="76">
        <f t="shared" ref="BC63:BC89" si="202">AP63*(1+$AZ63)</f>
        <v>11.927052341597795</v>
      </c>
      <c r="BD63" s="76">
        <f t="shared" ref="BD63:BD89" si="203">AQ63*(1+$AZ63)</f>
        <v>15.287052341597796</v>
      </c>
      <c r="BE63" s="76">
        <f t="shared" si="48"/>
        <v>13.607052341597795</v>
      </c>
      <c r="BF63" s="116">
        <f t="shared" si="198"/>
        <v>5</v>
      </c>
      <c r="BG63" s="116">
        <f t="shared" si="199"/>
        <v>10</v>
      </c>
      <c r="BH63" s="116">
        <f t="shared" si="6"/>
        <v>7.5</v>
      </c>
      <c r="BI63" s="4">
        <v>25</v>
      </c>
      <c r="BJ63" s="76">
        <f>BE63/2</f>
        <v>6.8035261707988974</v>
      </c>
      <c r="BK63" s="76">
        <f t="shared" si="160"/>
        <v>5.4428209366391185</v>
      </c>
      <c r="BL63" s="116">
        <f t="shared" si="153"/>
        <v>2.0091001355551765</v>
      </c>
      <c r="BM63" s="4">
        <f t="shared" si="168"/>
        <v>0</v>
      </c>
      <c r="BN63" s="4">
        <f t="shared" si="65"/>
        <v>0</v>
      </c>
      <c r="BO63" s="4">
        <f t="shared" si="157"/>
        <v>0</v>
      </c>
      <c r="BP63" s="4">
        <f t="shared" si="66"/>
        <v>0</v>
      </c>
      <c r="BQ63" s="335">
        <f t="shared" si="169"/>
        <v>0</v>
      </c>
      <c r="BR63" s="335">
        <f t="shared" si="170"/>
        <v>0</v>
      </c>
      <c r="BS63" s="335">
        <f t="shared" si="158"/>
        <v>0</v>
      </c>
      <c r="BT63" s="335">
        <f t="shared" si="159"/>
        <v>0</v>
      </c>
      <c r="BU63" s="76">
        <f t="shared" si="154"/>
        <v>107.07362991064768</v>
      </c>
      <c r="BV63" s="116" t="s">
        <v>77</v>
      </c>
      <c r="BW63" s="88" t="s">
        <v>77</v>
      </c>
      <c r="BX63" s="88" t="s">
        <v>77</v>
      </c>
      <c r="BY63" s="89" t="s">
        <v>77</v>
      </c>
      <c r="BZ63" s="88" t="s">
        <v>77</v>
      </c>
      <c r="CA63" s="88" t="s">
        <v>77</v>
      </c>
      <c r="CB63" s="89" t="s">
        <v>77</v>
      </c>
      <c r="CC63" s="88" t="s">
        <v>77</v>
      </c>
      <c r="CD63" s="88" t="s">
        <v>77</v>
      </c>
      <c r="CE63" s="89" t="s">
        <v>77</v>
      </c>
      <c r="CF63" s="88" t="s">
        <v>77</v>
      </c>
      <c r="CG63" s="88" t="s">
        <v>77</v>
      </c>
      <c r="CH63" s="89" t="s">
        <v>77</v>
      </c>
      <c r="CI63" s="41">
        <f t="shared" si="184"/>
        <v>0</v>
      </c>
      <c r="CJ63" s="41">
        <f t="shared" si="185"/>
        <v>0</v>
      </c>
      <c r="CK63" s="41">
        <f t="shared" si="186"/>
        <v>0</v>
      </c>
      <c r="CL63" s="41">
        <f t="shared" si="187"/>
        <v>0</v>
      </c>
      <c r="CM63" s="88" t="s">
        <v>77</v>
      </c>
      <c r="CN63" s="88" t="s">
        <v>77</v>
      </c>
      <c r="CO63" s="89" t="s">
        <v>77</v>
      </c>
      <c r="CP63" s="88" t="s">
        <v>77</v>
      </c>
      <c r="CQ63" s="88" t="s">
        <v>77</v>
      </c>
      <c r="CR63" s="89" t="s">
        <v>77</v>
      </c>
      <c r="CS63" s="88" t="s">
        <v>77</v>
      </c>
      <c r="CT63" s="88" t="s">
        <v>77</v>
      </c>
      <c r="CU63" s="89" t="s">
        <v>77</v>
      </c>
      <c r="CV63" s="88" t="s">
        <v>77</v>
      </c>
      <c r="CW63" s="88" t="s">
        <v>77</v>
      </c>
      <c r="CX63" s="89" t="s">
        <v>77</v>
      </c>
      <c r="CY63" s="299" t="s">
        <v>322</v>
      </c>
      <c r="CZ63" s="298" t="s">
        <v>56</v>
      </c>
      <c r="DA63" s="298" t="s">
        <v>57</v>
      </c>
      <c r="DB63" s="298" t="s">
        <v>77</v>
      </c>
      <c r="DC63" s="298" t="s">
        <v>57</v>
      </c>
      <c r="DD63" s="285" t="s">
        <v>173</v>
      </c>
      <c r="DE63" s="285" t="s">
        <v>272</v>
      </c>
      <c r="DF63" s="298" t="s">
        <v>57</v>
      </c>
      <c r="DG63" s="298" t="s">
        <v>57</v>
      </c>
      <c r="DH63" s="298" t="s">
        <v>57</v>
      </c>
      <c r="DI63" s="298" t="s">
        <v>57</v>
      </c>
      <c r="DJ63" s="279" t="s">
        <v>377</v>
      </c>
      <c r="DK63" s="280" t="s">
        <v>373</v>
      </c>
      <c r="DL63" s="280" t="s">
        <v>77</v>
      </c>
      <c r="DM63" s="279" t="s">
        <v>377</v>
      </c>
      <c r="DN63" s="280" t="s">
        <v>373</v>
      </c>
      <c r="DO63" s="285" t="s">
        <v>336</v>
      </c>
      <c r="DP63" s="279" t="s">
        <v>159</v>
      </c>
      <c r="DQ63" s="111"/>
      <c r="DR63" s="28"/>
      <c r="DS63" s="28"/>
      <c r="DT63" s="28"/>
      <c r="DU63" s="28"/>
      <c r="DV63" s="28"/>
      <c r="DW63" s="28"/>
      <c r="DX63" s="28"/>
      <c r="DY63" s="28"/>
    </row>
    <row r="64" spans="1:129" ht="164.25" customHeight="1" x14ac:dyDescent="0.2">
      <c r="A64" s="527"/>
      <c r="B64" s="294" t="s">
        <v>174</v>
      </c>
      <c r="C64" s="84"/>
      <c r="D64" s="241">
        <v>806</v>
      </c>
      <c r="E64" s="75" t="s">
        <v>441</v>
      </c>
      <c r="F64" s="286" t="s">
        <v>175</v>
      </c>
      <c r="G64" s="286" t="s">
        <v>77</v>
      </c>
      <c r="H64" s="286" t="s">
        <v>77</v>
      </c>
      <c r="I64" s="285" t="s">
        <v>608</v>
      </c>
      <c r="J64" s="285" t="s">
        <v>172</v>
      </c>
      <c r="K64" s="263"/>
      <c r="L64" s="280" t="s">
        <v>38</v>
      </c>
      <c r="M64" s="321">
        <v>1</v>
      </c>
      <c r="N64" s="11" t="s">
        <v>77</v>
      </c>
      <c r="O64" s="11" t="s">
        <v>77</v>
      </c>
      <c r="P64" s="316" t="s">
        <v>77</v>
      </c>
      <c r="Q64" s="3">
        <v>0</v>
      </c>
      <c r="R64" s="3">
        <v>0</v>
      </c>
      <c r="S64" s="4">
        <v>0</v>
      </c>
      <c r="T64" s="4">
        <v>0</v>
      </c>
      <c r="U64" s="4">
        <v>0</v>
      </c>
      <c r="V64" s="4">
        <v>0</v>
      </c>
      <c r="W64" s="51" t="s">
        <v>77</v>
      </c>
      <c r="X64" s="51" t="s">
        <v>77</v>
      </c>
      <c r="Y64" s="150">
        <f t="shared" si="161"/>
        <v>0</v>
      </c>
      <c r="Z64" s="150">
        <f t="shared" si="162"/>
        <v>0</v>
      </c>
      <c r="AA64" s="150">
        <f t="shared" si="163"/>
        <v>0</v>
      </c>
      <c r="AB64" s="150">
        <f t="shared" si="172"/>
        <v>0</v>
      </c>
      <c r="AC64" s="150">
        <f t="shared" si="173"/>
        <v>0</v>
      </c>
      <c r="AD64" s="150">
        <f t="shared" si="166"/>
        <v>0</v>
      </c>
      <c r="AE64" s="150">
        <f t="shared" si="167"/>
        <v>0</v>
      </c>
      <c r="AF64" s="150">
        <f t="shared" si="174"/>
        <v>0</v>
      </c>
      <c r="AG64" s="150">
        <f t="shared" si="175"/>
        <v>0</v>
      </c>
      <c r="AH64" s="89">
        <v>4</v>
      </c>
      <c r="AI64" s="89">
        <v>6</v>
      </c>
      <c r="AJ64" s="89">
        <f t="shared" si="188"/>
        <v>5</v>
      </c>
      <c r="AK64" s="89">
        <f t="shared" si="189"/>
        <v>4</v>
      </c>
      <c r="AL64" s="89">
        <f t="shared" si="190"/>
        <v>6</v>
      </c>
      <c r="AM64" s="89">
        <f t="shared" si="147"/>
        <v>5</v>
      </c>
      <c r="AN64" s="108">
        <v>0.33</v>
      </c>
      <c r="AO64" s="6">
        <f>$AA$111/43560</f>
        <v>5.7392102846648303</v>
      </c>
      <c r="AP64" s="89">
        <f>(AK64*(1+$AN$2))+AO64</f>
        <v>11.33921028466483</v>
      </c>
      <c r="AQ64" s="89">
        <f>(AL64*(1+$AN$2))+AO64</f>
        <v>14.139210284664829</v>
      </c>
      <c r="AR64" s="89">
        <f t="shared" si="60"/>
        <v>12.739210284664829</v>
      </c>
      <c r="AS64" s="210">
        <v>2</v>
      </c>
      <c r="AT64" s="210">
        <v>4</v>
      </c>
      <c r="AU64" s="89">
        <f t="shared" si="193"/>
        <v>3</v>
      </c>
      <c r="AV64" s="89">
        <f t="shared" si="194"/>
        <v>2</v>
      </c>
      <c r="AW64" s="89">
        <f t="shared" si="195"/>
        <v>4</v>
      </c>
      <c r="AX64" s="89">
        <f t="shared" si="148"/>
        <v>3</v>
      </c>
      <c r="AY64" s="341">
        <v>0.5</v>
      </c>
      <c r="AZ64" s="51">
        <v>-0.2</v>
      </c>
      <c r="BA64" s="51">
        <v>0</v>
      </c>
      <c r="BB64" s="338" t="s">
        <v>311</v>
      </c>
      <c r="BC64" s="76">
        <f t="shared" si="202"/>
        <v>9.071368227731865</v>
      </c>
      <c r="BD64" s="76">
        <f t="shared" si="203"/>
        <v>11.311368227731863</v>
      </c>
      <c r="BE64" s="76">
        <f t="shared" si="48"/>
        <v>10.191368227731864</v>
      </c>
      <c r="BF64" s="76">
        <f t="shared" si="198"/>
        <v>2</v>
      </c>
      <c r="BG64" s="76">
        <f t="shared" si="199"/>
        <v>4</v>
      </c>
      <c r="BH64" s="76">
        <f t="shared" si="6"/>
        <v>3</v>
      </c>
      <c r="BI64" s="4">
        <v>25</v>
      </c>
      <c r="BJ64" s="76">
        <f>BE64</f>
        <v>10.191368227731864</v>
      </c>
      <c r="BK64" s="76">
        <f t="shared" si="160"/>
        <v>8.1530945821854921</v>
      </c>
      <c r="BL64" s="116">
        <f t="shared" si="153"/>
        <v>3.0095392850417291</v>
      </c>
      <c r="BM64" s="4">
        <f t="shared" si="168"/>
        <v>0</v>
      </c>
      <c r="BN64" s="4">
        <f t="shared" si="65"/>
        <v>0</v>
      </c>
      <c r="BO64" s="4">
        <f t="shared" si="157"/>
        <v>0</v>
      </c>
      <c r="BP64" s="4">
        <f t="shared" si="66"/>
        <v>0</v>
      </c>
      <c r="BQ64" s="335">
        <f t="shared" si="169"/>
        <v>0</v>
      </c>
      <c r="BR64" s="335">
        <f t="shared" si="170"/>
        <v>0</v>
      </c>
      <c r="BS64" s="335">
        <f t="shared" si="158"/>
        <v>0</v>
      </c>
      <c r="BT64" s="335">
        <f t="shared" si="159"/>
        <v>0</v>
      </c>
      <c r="BU64" s="76">
        <f t="shared" si="154"/>
        <v>47.57799925535182</v>
      </c>
      <c r="BV64" s="116" t="s">
        <v>77</v>
      </c>
      <c r="BW64" s="88" t="s">
        <v>77</v>
      </c>
      <c r="BX64" s="88" t="s">
        <v>77</v>
      </c>
      <c r="BY64" s="89" t="s">
        <v>77</v>
      </c>
      <c r="BZ64" s="88" t="s">
        <v>77</v>
      </c>
      <c r="CA64" s="88" t="s">
        <v>77</v>
      </c>
      <c r="CB64" s="89" t="s">
        <v>77</v>
      </c>
      <c r="CC64" s="88" t="s">
        <v>77</v>
      </c>
      <c r="CD64" s="88" t="s">
        <v>77</v>
      </c>
      <c r="CE64" s="89" t="s">
        <v>77</v>
      </c>
      <c r="CF64" s="88" t="s">
        <v>77</v>
      </c>
      <c r="CG64" s="88" t="s">
        <v>77</v>
      </c>
      <c r="CH64" s="89" t="s">
        <v>77</v>
      </c>
      <c r="CI64" s="41">
        <f t="shared" si="184"/>
        <v>0</v>
      </c>
      <c r="CJ64" s="41">
        <f t="shared" si="185"/>
        <v>0</v>
      </c>
      <c r="CK64" s="41">
        <f t="shared" si="186"/>
        <v>0</v>
      </c>
      <c r="CL64" s="41">
        <f t="shared" si="187"/>
        <v>0</v>
      </c>
      <c r="CM64" s="88" t="s">
        <v>77</v>
      </c>
      <c r="CN64" s="88" t="s">
        <v>77</v>
      </c>
      <c r="CO64" s="89" t="s">
        <v>77</v>
      </c>
      <c r="CP64" s="88" t="s">
        <v>77</v>
      </c>
      <c r="CQ64" s="88" t="s">
        <v>77</v>
      </c>
      <c r="CR64" s="89" t="s">
        <v>77</v>
      </c>
      <c r="CS64" s="88" t="s">
        <v>77</v>
      </c>
      <c r="CT64" s="88" t="s">
        <v>77</v>
      </c>
      <c r="CU64" s="89" t="s">
        <v>77</v>
      </c>
      <c r="CV64" s="88" t="s">
        <v>77</v>
      </c>
      <c r="CW64" s="88" t="s">
        <v>77</v>
      </c>
      <c r="CX64" s="89" t="s">
        <v>77</v>
      </c>
      <c r="CY64" s="299" t="s">
        <v>322</v>
      </c>
      <c r="CZ64" s="298" t="s">
        <v>56</v>
      </c>
      <c r="DA64" s="298" t="s">
        <v>57</v>
      </c>
      <c r="DB64" s="298" t="s">
        <v>77</v>
      </c>
      <c r="DC64" s="298" t="s">
        <v>57</v>
      </c>
      <c r="DD64" s="285" t="s">
        <v>176</v>
      </c>
      <c r="DE64" s="285" t="s">
        <v>177</v>
      </c>
      <c r="DF64" s="298" t="s">
        <v>57</v>
      </c>
      <c r="DG64" s="298" t="s">
        <v>57</v>
      </c>
      <c r="DH64" s="298" t="s">
        <v>57</v>
      </c>
      <c r="DI64" s="298" t="s">
        <v>57</v>
      </c>
      <c r="DJ64" s="279" t="s">
        <v>377</v>
      </c>
      <c r="DK64" s="280" t="s">
        <v>373</v>
      </c>
      <c r="DL64" s="280" t="s">
        <v>77</v>
      </c>
      <c r="DM64" s="279" t="s">
        <v>377</v>
      </c>
      <c r="DN64" s="280" t="s">
        <v>373</v>
      </c>
      <c r="DO64" s="285" t="s">
        <v>337</v>
      </c>
      <c r="DP64" s="279" t="s">
        <v>159</v>
      </c>
      <c r="DQ64" s="111"/>
      <c r="DR64" s="28"/>
      <c r="DS64" s="28"/>
      <c r="DT64" s="28"/>
      <c r="DU64" s="28"/>
      <c r="DV64" s="28"/>
      <c r="DW64" s="28"/>
      <c r="DX64" s="28"/>
      <c r="DY64" s="28"/>
    </row>
    <row r="65" spans="1:129" ht="173.25" hidden="1" customHeight="1" x14ac:dyDescent="0.2">
      <c r="A65" s="527"/>
      <c r="B65" s="294" t="s">
        <v>340</v>
      </c>
      <c r="C65" s="84"/>
      <c r="D65" s="241"/>
      <c r="E65" s="64" t="s">
        <v>341</v>
      </c>
      <c r="F65" s="286" t="s">
        <v>84</v>
      </c>
      <c r="G65" s="286" t="s">
        <v>77</v>
      </c>
      <c r="H65" s="286" t="s">
        <v>77</v>
      </c>
      <c r="I65" s="285" t="s">
        <v>601</v>
      </c>
      <c r="J65" s="285"/>
      <c r="K65" s="262"/>
      <c r="L65" s="280"/>
      <c r="M65" s="321"/>
      <c r="N65" s="11"/>
      <c r="O65" s="11" t="s">
        <v>77</v>
      </c>
      <c r="P65" s="316"/>
      <c r="Q65" s="103"/>
      <c r="R65" s="103"/>
      <c r="S65" s="4"/>
      <c r="T65" s="4"/>
      <c r="U65" s="4"/>
      <c r="V65" s="4"/>
      <c r="W65" s="51"/>
      <c r="X65" s="51"/>
      <c r="Y65" s="150">
        <f t="shared" si="161"/>
        <v>0</v>
      </c>
      <c r="Z65" s="150">
        <f t="shared" si="162"/>
        <v>0</v>
      </c>
      <c r="AA65" s="150">
        <f t="shared" si="163"/>
        <v>0</v>
      </c>
      <c r="AB65" s="150">
        <f t="shared" si="172"/>
        <v>0</v>
      </c>
      <c r="AC65" s="150">
        <f t="shared" si="173"/>
        <v>0</v>
      </c>
      <c r="AD65" s="150">
        <f t="shared" si="166"/>
        <v>0</v>
      </c>
      <c r="AE65" s="150">
        <f t="shared" si="167"/>
        <v>0</v>
      </c>
      <c r="AF65" s="150">
        <f t="shared" si="174"/>
        <v>0</v>
      </c>
      <c r="AG65" s="150">
        <f t="shared" si="175"/>
        <v>0</v>
      </c>
      <c r="AH65" s="76"/>
      <c r="AI65" s="76"/>
      <c r="AJ65" s="76">
        <f t="shared" si="188"/>
        <v>0</v>
      </c>
      <c r="AK65" s="76">
        <f t="shared" si="189"/>
        <v>0</v>
      </c>
      <c r="AL65" s="76">
        <f t="shared" si="190"/>
        <v>0</v>
      </c>
      <c r="AM65" s="76">
        <f t="shared" si="147"/>
        <v>0</v>
      </c>
      <c r="AN65" s="108"/>
      <c r="AO65" s="108"/>
      <c r="AP65" s="76"/>
      <c r="AQ65" s="76"/>
      <c r="AR65" s="76">
        <f t="shared" si="60"/>
        <v>0</v>
      </c>
      <c r="AS65" s="116"/>
      <c r="AT65" s="116"/>
      <c r="AU65" s="76">
        <f t="shared" si="193"/>
        <v>0</v>
      </c>
      <c r="AV65" s="76">
        <f t="shared" si="194"/>
        <v>0</v>
      </c>
      <c r="AW65" s="76">
        <f t="shared" si="195"/>
        <v>0</v>
      </c>
      <c r="AX65" s="76">
        <f t="shared" si="148"/>
        <v>0</v>
      </c>
      <c r="AY65" s="341"/>
      <c r="AZ65" s="51"/>
      <c r="BA65" s="51"/>
      <c r="BB65" s="338"/>
      <c r="BC65" s="76"/>
      <c r="BD65" s="76"/>
      <c r="BE65" s="76">
        <f t="shared" si="48"/>
        <v>0</v>
      </c>
      <c r="BF65" s="76"/>
      <c r="BG65" s="76"/>
      <c r="BH65" s="76">
        <f t="shared" si="6"/>
        <v>0</v>
      </c>
      <c r="BI65" s="4">
        <v>0</v>
      </c>
      <c r="BJ65" s="76">
        <v>0</v>
      </c>
      <c r="BK65" s="76" t="e">
        <f t="shared" si="160"/>
        <v>#DIV/0!</v>
      </c>
      <c r="BL65" s="116" t="e">
        <f t="shared" si="153"/>
        <v>#DIV/0!</v>
      </c>
      <c r="BM65" s="4">
        <f t="shared" si="168"/>
        <v>0</v>
      </c>
      <c r="BN65" s="4">
        <f t="shared" si="65"/>
        <v>0</v>
      </c>
      <c r="BO65" s="4">
        <f t="shared" si="157"/>
        <v>0</v>
      </c>
      <c r="BP65" s="4">
        <f t="shared" si="66"/>
        <v>0</v>
      </c>
      <c r="BQ65" s="4">
        <f>IF((($Y65+$Z65)&gt;0),((($Y65+$Z65)/2)*$CB$2),0)</f>
        <v>0</v>
      </c>
      <c r="BR65" s="4">
        <f t="shared" ref="BR65:BR66" si="204">BQ65*0.4536</f>
        <v>0</v>
      </c>
      <c r="BS65" s="4">
        <f>IF((($AD65+$AE65)&gt;0),((($AD65+$AE65)/2)*$CB$2),0)</f>
        <v>0</v>
      </c>
      <c r="BT65" s="4">
        <f t="shared" ref="BT65:BT66" si="205">BS65*0.4536</f>
        <v>0</v>
      </c>
      <c r="BU65" s="76"/>
      <c r="BV65" s="116" t="s">
        <v>77</v>
      </c>
      <c r="BW65" s="88" t="s">
        <v>77</v>
      </c>
      <c r="BX65" s="88" t="s">
        <v>77</v>
      </c>
      <c r="BY65" s="89" t="s">
        <v>77</v>
      </c>
      <c r="BZ65" s="88" t="s">
        <v>77</v>
      </c>
      <c r="CA65" s="88" t="s">
        <v>77</v>
      </c>
      <c r="CB65" s="89" t="s">
        <v>77</v>
      </c>
      <c r="CC65" s="88" t="s">
        <v>77</v>
      </c>
      <c r="CD65" s="88" t="s">
        <v>77</v>
      </c>
      <c r="CE65" s="89" t="s">
        <v>77</v>
      </c>
      <c r="CF65" s="88" t="s">
        <v>77</v>
      </c>
      <c r="CG65" s="88" t="s">
        <v>77</v>
      </c>
      <c r="CH65" s="89" t="s">
        <v>77</v>
      </c>
      <c r="CI65" s="41"/>
      <c r="CJ65" s="41"/>
      <c r="CK65" s="41"/>
      <c r="CL65" s="41"/>
      <c r="CM65" s="88" t="s">
        <v>77</v>
      </c>
      <c r="CN65" s="88" t="s">
        <v>77</v>
      </c>
      <c r="CO65" s="89" t="s">
        <v>77</v>
      </c>
      <c r="CP65" s="88" t="s">
        <v>77</v>
      </c>
      <c r="CQ65" s="88" t="s">
        <v>77</v>
      </c>
      <c r="CR65" s="89" t="s">
        <v>77</v>
      </c>
      <c r="CS65" s="88" t="s">
        <v>77</v>
      </c>
      <c r="CT65" s="88" t="s">
        <v>77</v>
      </c>
      <c r="CU65" s="89" t="s">
        <v>77</v>
      </c>
      <c r="CV65" s="88" t="s">
        <v>77</v>
      </c>
      <c r="CW65" s="88" t="s">
        <v>77</v>
      </c>
      <c r="CX65" s="89" t="s">
        <v>77</v>
      </c>
      <c r="CY65" s="299"/>
      <c r="CZ65" s="298"/>
      <c r="DA65" s="298" t="s">
        <v>57</v>
      </c>
      <c r="DB65" s="298"/>
      <c r="DC65" s="298"/>
      <c r="DD65" s="285"/>
      <c r="DE65" s="285"/>
      <c r="DF65" s="298"/>
      <c r="DG65" s="298"/>
      <c r="DH65" s="298"/>
      <c r="DI65" s="298"/>
      <c r="DJ65" s="279" t="s">
        <v>377</v>
      </c>
      <c r="DK65" s="280" t="s">
        <v>77</v>
      </c>
      <c r="DL65" s="280" t="s">
        <v>77</v>
      </c>
      <c r="DM65" s="279" t="s">
        <v>377</v>
      </c>
      <c r="DN65" s="280" t="s">
        <v>77</v>
      </c>
      <c r="DO65" s="285"/>
      <c r="DP65" s="279"/>
      <c r="DQ65" s="111"/>
      <c r="DR65" s="28"/>
      <c r="DS65" s="28"/>
      <c r="DT65" s="28"/>
      <c r="DU65" s="28"/>
      <c r="DV65" s="28"/>
      <c r="DW65" s="28"/>
      <c r="DX65" s="28"/>
      <c r="DY65" s="28"/>
    </row>
    <row r="66" spans="1:129" ht="321" hidden="1" customHeight="1" x14ac:dyDescent="0.2">
      <c r="A66" s="527"/>
      <c r="B66" s="294" t="s">
        <v>342</v>
      </c>
      <c r="C66" s="84"/>
      <c r="D66" s="241"/>
      <c r="E66" s="75" t="s">
        <v>335</v>
      </c>
      <c r="F66" s="286" t="s">
        <v>84</v>
      </c>
      <c r="G66" s="286" t="s">
        <v>77</v>
      </c>
      <c r="H66" s="286" t="s">
        <v>77</v>
      </c>
      <c r="I66" s="285" t="s">
        <v>601</v>
      </c>
      <c r="J66" s="285"/>
      <c r="K66" s="263"/>
      <c r="L66" s="280"/>
      <c r="M66" s="321"/>
      <c r="N66" s="11"/>
      <c r="O66" s="11" t="s">
        <v>77</v>
      </c>
      <c r="P66" s="316"/>
      <c r="Q66" s="103"/>
      <c r="R66" s="103"/>
      <c r="S66" s="4"/>
      <c r="T66" s="4"/>
      <c r="U66" s="4"/>
      <c r="V66" s="4"/>
      <c r="W66" s="51"/>
      <c r="X66" s="51"/>
      <c r="Y66" s="150">
        <f t="shared" si="161"/>
        <v>0</v>
      </c>
      <c r="Z66" s="150">
        <f t="shared" si="162"/>
        <v>0</v>
      </c>
      <c r="AA66" s="150">
        <f t="shared" si="163"/>
        <v>0</v>
      </c>
      <c r="AB66" s="150">
        <f t="shared" si="172"/>
        <v>0</v>
      </c>
      <c r="AC66" s="150">
        <f t="shared" si="173"/>
        <v>0</v>
      </c>
      <c r="AD66" s="150">
        <f t="shared" si="166"/>
        <v>0</v>
      </c>
      <c r="AE66" s="150">
        <f t="shared" si="167"/>
        <v>0</v>
      </c>
      <c r="AF66" s="150">
        <f t="shared" si="174"/>
        <v>0</v>
      </c>
      <c r="AG66" s="150">
        <f t="shared" si="175"/>
        <v>0</v>
      </c>
      <c r="AH66" s="76"/>
      <c r="AI66" s="76"/>
      <c r="AJ66" s="76">
        <f t="shared" si="188"/>
        <v>0</v>
      </c>
      <c r="AK66" s="76">
        <f t="shared" si="189"/>
        <v>0</v>
      </c>
      <c r="AL66" s="76">
        <f t="shared" si="190"/>
        <v>0</v>
      </c>
      <c r="AM66" s="76">
        <f t="shared" si="147"/>
        <v>0</v>
      </c>
      <c r="AN66" s="108"/>
      <c r="AO66" s="108"/>
      <c r="AP66" s="76"/>
      <c r="AQ66" s="76"/>
      <c r="AR66" s="76">
        <f t="shared" si="60"/>
        <v>0</v>
      </c>
      <c r="AS66" s="116"/>
      <c r="AT66" s="116"/>
      <c r="AU66" s="76">
        <f t="shared" si="193"/>
        <v>0</v>
      </c>
      <c r="AV66" s="76">
        <f t="shared" si="194"/>
        <v>0</v>
      </c>
      <c r="AW66" s="76">
        <f t="shared" si="195"/>
        <v>0</v>
      </c>
      <c r="AX66" s="76">
        <f t="shared" si="148"/>
        <v>0</v>
      </c>
      <c r="AY66" s="341"/>
      <c r="AZ66" s="51"/>
      <c r="BA66" s="51"/>
      <c r="BB66" s="338"/>
      <c r="BC66" s="76"/>
      <c r="BD66" s="76"/>
      <c r="BE66" s="76">
        <f t="shared" si="48"/>
        <v>0</v>
      </c>
      <c r="BF66" s="76"/>
      <c r="BG66" s="76"/>
      <c r="BH66" s="76">
        <f t="shared" si="6"/>
        <v>0</v>
      </c>
      <c r="BI66" s="4">
        <v>0</v>
      </c>
      <c r="BJ66" s="76">
        <v>0</v>
      </c>
      <c r="BK66" s="76" t="e">
        <f t="shared" si="160"/>
        <v>#DIV/0!</v>
      </c>
      <c r="BL66" s="116" t="e">
        <f t="shared" si="153"/>
        <v>#DIV/0!</v>
      </c>
      <c r="BM66" s="4">
        <f t="shared" si="168"/>
        <v>0</v>
      </c>
      <c r="BN66" s="4">
        <f t="shared" si="65"/>
        <v>0</v>
      </c>
      <c r="BO66" s="4">
        <f t="shared" si="157"/>
        <v>0</v>
      </c>
      <c r="BP66" s="4">
        <f t="shared" si="66"/>
        <v>0</v>
      </c>
      <c r="BQ66" s="4">
        <f>IF((($Y66+$Z66)&gt;0),((($Y66+$Z66)/2)*$CB$2),0)</f>
        <v>0</v>
      </c>
      <c r="BR66" s="4">
        <f t="shared" si="204"/>
        <v>0</v>
      </c>
      <c r="BS66" s="4">
        <f>IF((($AD66+$AE66)&gt;0),((($AD66+$AE66)/2)*$CB$2),0)</f>
        <v>0</v>
      </c>
      <c r="BT66" s="4">
        <f t="shared" si="205"/>
        <v>0</v>
      </c>
      <c r="BU66" s="76"/>
      <c r="BV66" s="116" t="s">
        <v>77</v>
      </c>
      <c r="BW66" s="88" t="s">
        <v>77</v>
      </c>
      <c r="BX66" s="88" t="s">
        <v>77</v>
      </c>
      <c r="BY66" s="89" t="s">
        <v>77</v>
      </c>
      <c r="BZ66" s="88" t="s">
        <v>77</v>
      </c>
      <c r="CA66" s="88" t="s">
        <v>77</v>
      </c>
      <c r="CB66" s="89" t="s">
        <v>77</v>
      </c>
      <c r="CC66" s="88" t="s">
        <v>77</v>
      </c>
      <c r="CD66" s="88" t="s">
        <v>77</v>
      </c>
      <c r="CE66" s="89" t="s">
        <v>77</v>
      </c>
      <c r="CF66" s="88" t="s">
        <v>77</v>
      </c>
      <c r="CG66" s="88" t="s">
        <v>77</v>
      </c>
      <c r="CH66" s="89" t="s">
        <v>77</v>
      </c>
      <c r="CI66" s="41"/>
      <c r="CJ66" s="41"/>
      <c r="CK66" s="41"/>
      <c r="CL66" s="41"/>
      <c r="CM66" s="88" t="s">
        <v>77</v>
      </c>
      <c r="CN66" s="88" t="s">
        <v>77</v>
      </c>
      <c r="CO66" s="89" t="s">
        <v>77</v>
      </c>
      <c r="CP66" s="88" t="s">
        <v>77</v>
      </c>
      <c r="CQ66" s="88" t="s">
        <v>77</v>
      </c>
      <c r="CR66" s="89" t="s">
        <v>77</v>
      </c>
      <c r="CS66" s="88" t="s">
        <v>77</v>
      </c>
      <c r="CT66" s="88" t="s">
        <v>77</v>
      </c>
      <c r="CU66" s="89" t="s">
        <v>77</v>
      </c>
      <c r="CV66" s="88" t="s">
        <v>77</v>
      </c>
      <c r="CW66" s="88" t="s">
        <v>77</v>
      </c>
      <c r="CX66" s="89" t="s">
        <v>77</v>
      </c>
      <c r="CY66" s="299"/>
      <c r="CZ66" s="298"/>
      <c r="DA66" s="298" t="s">
        <v>57</v>
      </c>
      <c r="DB66" s="298"/>
      <c r="DC66" s="298"/>
      <c r="DD66" s="285"/>
      <c r="DE66" s="285"/>
      <c r="DF66" s="298"/>
      <c r="DG66" s="298"/>
      <c r="DH66" s="298"/>
      <c r="DI66" s="298"/>
      <c r="DJ66" s="279" t="s">
        <v>377</v>
      </c>
      <c r="DK66" s="280" t="s">
        <v>77</v>
      </c>
      <c r="DL66" s="280" t="s">
        <v>77</v>
      </c>
      <c r="DM66" s="279" t="s">
        <v>377</v>
      </c>
      <c r="DN66" s="280" t="s">
        <v>77</v>
      </c>
      <c r="DO66" s="285"/>
      <c r="DP66" s="279"/>
      <c r="DQ66" s="111"/>
      <c r="DR66" s="28"/>
      <c r="DS66" s="28"/>
      <c r="DT66" s="28"/>
      <c r="DU66" s="28"/>
      <c r="DV66" s="28"/>
      <c r="DW66" s="28"/>
      <c r="DX66" s="28"/>
      <c r="DY66" s="28"/>
    </row>
    <row r="67" spans="1:129" ht="185.25" customHeight="1" x14ac:dyDescent="0.2">
      <c r="A67" s="527"/>
      <c r="B67" s="294" t="s">
        <v>178</v>
      </c>
      <c r="C67" s="84"/>
      <c r="D67" s="241">
        <v>807</v>
      </c>
      <c r="E67" s="285" t="s">
        <v>442</v>
      </c>
      <c r="F67" s="286" t="s">
        <v>179</v>
      </c>
      <c r="G67" s="286" t="s">
        <v>77</v>
      </c>
      <c r="H67" s="286" t="s">
        <v>77</v>
      </c>
      <c r="I67" s="285" t="s">
        <v>609</v>
      </c>
      <c r="J67" s="285" t="s">
        <v>172</v>
      </c>
      <c r="K67" s="286"/>
      <c r="L67" s="280" t="s">
        <v>11</v>
      </c>
      <c r="M67" s="321">
        <v>1</v>
      </c>
      <c r="N67" s="11" t="s">
        <v>77</v>
      </c>
      <c r="O67" s="11" t="s">
        <v>77</v>
      </c>
      <c r="P67" s="317" t="s">
        <v>77</v>
      </c>
      <c r="Q67" s="3">
        <v>0</v>
      </c>
      <c r="R67" s="3">
        <v>0</v>
      </c>
      <c r="S67" s="4">
        <v>0</v>
      </c>
      <c r="T67" s="4">
        <v>0</v>
      </c>
      <c r="U67" s="4">
        <v>0</v>
      </c>
      <c r="V67" s="4">
        <v>0</v>
      </c>
      <c r="W67" s="51" t="s">
        <v>77</v>
      </c>
      <c r="X67" s="51" t="s">
        <v>77</v>
      </c>
      <c r="Y67" s="150">
        <f t="shared" si="161"/>
        <v>0</v>
      </c>
      <c r="Z67" s="150">
        <f t="shared" si="162"/>
        <v>0</v>
      </c>
      <c r="AA67" s="150">
        <f t="shared" si="163"/>
        <v>0</v>
      </c>
      <c r="AB67" s="150">
        <f t="shared" si="172"/>
        <v>0</v>
      </c>
      <c r="AC67" s="150">
        <f t="shared" si="173"/>
        <v>0</v>
      </c>
      <c r="AD67" s="150">
        <f t="shared" si="166"/>
        <v>0</v>
      </c>
      <c r="AE67" s="150">
        <f t="shared" si="167"/>
        <v>0</v>
      </c>
      <c r="AF67" s="150">
        <f t="shared" si="174"/>
        <v>0</v>
      </c>
      <c r="AG67" s="150">
        <f t="shared" si="175"/>
        <v>0</v>
      </c>
      <c r="AH67" s="76">
        <v>1000000</v>
      </c>
      <c r="AI67" s="76">
        <v>1500000</v>
      </c>
      <c r="AJ67" s="76">
        <f t="shared" si="188"/>
        <v>1250000</v>
      </c>
      <c r="AK67" s="76">
        <f t="shared" si="189"/>
        <v>1000000</v>
      </c>
      <c r="AL67" s="76">
        <f t="shared" si="190"/>
        <v>1500000</v>
      </c>
      <c r="AM67" s="76">
        <f t="shared" si="147"/>
        <v>1250000</v>
      </c>
      <c r="AN67" s="108">
        <v>0.4</v>
      </c>
      <c r="AO67" s="76">
        <v>50000</v>
      </c>
      <c r="AP67" s="76">
        <f>(AK67*(1+$AN$2))+AO67</f>
        <v>1450000</v>
      </c>
      <c r="AQ67" s="76">
        <f>(AL67*(1+$AN$2))+AO67</f>
        <v>2150000</v>
      </c>
      <c r="AR67" s="76">
        <f t="shared" si="60"/>
        <v>1800000</v>
      </c>
      <c r="AS67" s="76">
        <v>50000</v>
      </c>
      <c r="AT67" s="76">
        <v>100000</v>
      </c>
      <c r="AU67" s="76">
        <f t="shared" si="193"/>
        <v>75000</v>
      </c>
      <c r="AV67" s="76">
        <f t="shared" si="194"/>
        <v>50000</v>
      </c>
      <c r="AW67" s="76">
        <f t="shared" si="195"/>
        <v>100000</v>
      </c>
      <c r="AX67" s="76">
        <f t="shared" si="148"/>
        <v>75000</v>
      </c>
      <c r="AY67" s="337">
        <v>0.1</v>
      </c>
      <c r="AZ67" s="51">
        <v>0.3</v>
      </c>
      <c r="BA67" s="51">
        <v>0.1</v>
      </c>
      <c r="BB67" s="338" t="s">
        <v>310</v>
      </c>
      <c r="BC67" s="76">
        <f t="shared" si="202"/>
        <v>1885000</v>
      </c>
      <c r="BD67" s="76">
        <f t="shared" si="203"/>
        <v>2795000</v>
      </c>
      <c r="BE67" s="76">
        <f t="shared" si="48"/>
        <v>2340000</v>
      </c>
      <c r="BF67" s="76">
        <f t="shared" si="198"/>
        <v>55000.000000000007</v>
      </c>
      <c r="BG67" s="76">
        <f t="shared" si="199"/>
        <v>110000.00000000001</v>
      </c>
      <c r="BH67" s="76">
        <f t="shared" si="6"/>
        <v>82500</v>
      </c>
      <c r="BI67" s="4">
        <v>10</v>
      </c>
      <c r="BJ67" s="76">
        <v>750000</v>
      </c>
      <c r="BK67" s="76">
        <f t="shared" si="160"/>
        <v>1500000</v>
      </c>
      <c r="BL67" s="116">
        <f t="shared" si="153"/>
        <v>743102.05231031997</v>
      </c>
      <c r="BM67" s="4">
        <f t="shared" si="168"/>
        <v>0</v>
      </c>
      <c r="BN67" s="4">
        <f t="shared" si="65"/>
        <v>0</v>
      </c>
      <c r="BO67" s="4">
        <f t="shared" si="157"/>
        <v>0</v>
      </c>
      <c r="BP67" s="4">
        <f t="shared" si="66"/>
        <v>0</v>
      </c>
      <c r="BQ67" s="335">
        <f t="shared" ref="BQ67:BR69" si="206">IF($Q67&lt;$W$112,BM67,(BM67-((BM67/$Q67)*($Q67-$W$112))))</f>
        <v>0</v>
      </c>
      <c r="BR67" s="335">
        <f t="shared" si="206"/>
        <v>0</v>
      </c>
      <c r="BS67" s="335">
        <f t="shared" ref="BS67:BT69" si="207">IF($R67&lt;$X$112,BO67,(BO67-((BO67/$R67)*($R67-$X$112))))</f>
        <v>0</v>
      </c>
      <c r="BT67" s="335">
        <f t="shared" si="207"/>
        <v>0</v>
      </c>
      <c r="BU67" s="76">
        <f>IF((Y67+Z67+AD67+AE67=0),(BE67+PV($BY$2,$CB$2,-BH67,0,0)),"N/A")</f>
        <v>3368132.3532595485</v>
      </c>
      <c r="BV67" s="116" t="s">
        <v>77</v>
      </c>
      <c r="BW67" s="88" t="s">
        <v>77</v>
      </c>
      <c r="BX67" s="88" t="s">
        <v>77</v>
      </c>
      <c r="BY67" s="89" t="s">
        <v>77</v>
      </c>
      <c r="BZ67" s="88" t="s">
        <v>77</v>
      </c>
      <c r="CA67" s="88" t="s">
        <v>77</v>
      </c>
      <c r="CB67" s="89" t="s">
        <v>77</v>
      </c>
      <c r="CC67" s="88" t="s">
        <v>77</v>
      </c>
      <c r="CD67" s="88" t="s">
        <v>77</v>
      </c>
      <c r="CE67" s="89" t="s">
        <v>77</v>
      </c>
      <c r="CF67" s="88" t="s">
        <v>77</v>
      </c>
      <c r="CG67" s="88" t="s">
        <v>77</v>
      </c>
      <c r="CH67" s="89" t="s">
        <v>77</v>
      </c>
      <c r="CI67" s="41">
        <f>IF(Z67&gt;0,((BC67+PV($BY$2,$CB$2,-BF67,0,0))/Z67),0)</f>
        <v>0</v>
      </c>
      <c r="CJ67" s="41">
        <f>IF(Y67&gt;0,((BD67+PV($BY$2,$CB$2,-BG67,0,0))/Y67),0)</f>
        <v>0</v>
      </c>
      <c r="CK67" s="41">
        <f>IF(AE67&gt;0,((BC67+PV($BY$2,$CB$2,-BF67,0,0))/AE67),0)</f>
        <v>0</v>
      </c>
      <c r="CL67" s="41">
        <f>IF(AD67&gt;0,((BD67+PV($BY$2,$CB$2,-BG67,0,0))/AD67),0)</f>
        <v>0</v>
      </c>
      <c r="CM67" s="88" t="s">
        <v>77</v>
      </c>
      <c r="CN67" s="88" t="s">
        <v>77</v>
      </c>
      <c r="CO67" s="89" t="s">
        <v>77</v>
      </c>
      <c r="CP67" s="88" t="s">
        <v>77</v>
      </c>
      <c r="CQ67" s="88" t="s">
        <v>77</v>
      </c>
      <c r="CR67" s="89" t="s">
        <v>77</v>
      </c>
      <c r="CS67" s="88" t="s">
        <v>77</v>
      </c>
      <c r="CT67" s="88" t="s">
        <v>77</v>
      </c>
      <c r="CU67" s="89" t="s">
        <v>77</v>
      </c>
      <c r="CV67" s="88" t="s">
        <v>77</v>
      </c>
      <c r="CW67" s="88" t="s">
        <v>77</v>
      </c>
      <c r="CX67" s="89" t="s">
        <v>77</v>
      </c>
      <c r="CY67" s="299" t="s">
        <v>322</v>
      </c>
      <c r="CZ67" s="298" t="s">
        <v>56</v>
      </c>
      <c r="DA67" s="298" t="s">
        <v>57</v>
      </c>
      <c r="DB67" s="298" t="s">
        <v>77</v>
      </c>
      <c r="DC67" s="298" t="s">
        <v>57</v>
      </c>
      <c r="DD67" s="285" t="s">
        <v>180</v>
      </c>
      <c r="DE67" s="285" t="s">
        <v>181</v>
      </c>
      <c r="DF67" s="298" t="s">
        <v>57</v>
      </c>
      <c r="DG67" s="298" t="s">
        <v>57</v>
      </c>
      <c r="DH67" s="298" t="s">
        <v>57</v>
      </c>
      <c r="DI67" s="298" t="s">
        <v>57</v>
      </c>
      <c r="DJ67" s="279" t="s">
        <v>377</v>
      </c>
      <c r="DK67" s="280" t="s">
        <v>77</v>
      </c>
      <c r="DL67" s="280" t="s">
        <v>77</v>
      </c>
      <c r="DM67" s="279" t="s">
        <v>377</v>
      </c>
      <c r="DN67" s="280" t="s">
        <v>77</v>
      </c>
      <c r="DO67" s="285" t="s">
        <v>529</v>
      </c>
      <c r="DP67" s="279" t="s">
        <v>182</v>
      </c>
      <c r="DQ67" s="109"/>
      <c r="DR67" s="28"/>
      <c r="DS67" s="28"/>
      <c r="DT67" s="28"/>
      <c r="DU67" s="28"/>
      <c r="DV67" s="28"/>
      <c r="DW67" s="28"/>
      <c r="DX67" s="28"/>
      <c r="DY67" s="28"/>
    </row>
    <row r="68" spans="1:129" ht="183.75" customHeight="1" x14ac:dyDescent="0.2">
      <c r="A68" s="527"/>
      <c r="B68" s="294" t="s">
        <v>183</v>
      </c>
      <c r="C68" s="84"/>
      <c r="D68" s="241">
        <v>808</v>
      </c>
      <c r="E68" s="285" t="s">
        <v>443</v>
      </c>
      <c r="F68" s="286" t="s">
        <v>179</v>
      </c>
      <c r="G68" s="286" t="s">
        <v>77</v>
      </c>
      <c r="H68" s="286" t="s">
        <v>77</v>
      </c>
      <c r="I68" s="285" t="s">
        <v>609</v>
      </c>
      <c r="J68" s="285" t="s">
        <v>172</v>
      </c>
      <c r="K68" s="286"/>
      <c r="L68" s="280" t="s">
        <v>11</v>
      </c>
      <c r="M68" s="321">
        <v>1</v>
      </c>
      <c r="N68" s="11" t="s">
        <v>77</v>
      </c>
      <c r="O68" s="11" t="s">
        <v>77</v>
      </c>
      <c r="P68" s="317" t="s">
        <v>77</v>
      </c>
      <c r="Q68" s="3">
        <v>0</v>
      </c>
      <c r="R68" s="3">
        <v>0</v>
      </c>
      <c r="S68" s="4">
        <v>0</v>
      </c>
      <c r="T68" s="4">
        <v>0</v>
      </c>
      <c r="U68" s="4">
        <v>0</v>
      </c>
      <c r="V68" s="4">
        <v>0</v>
      </c>
      <c r="W68" s="51" t="s">
        <v>77</v>
      </c>
      <c r="X68" s="51" t="s">
        <v>77</v>
      </c>
      <c r="Y68" s="150">
        <f t="shared" si="161"/>
        <v>0</v>
      </c>
      <c r="Z68" s="150">
        <f t="shared" si="162"/>
        <v>0</v>
      </c>
      <c r="AA68" s="150">
        <f t="shared" si="163"/>
        <v>0</v>
      </c>
      <c r="AB68" s="150">
        <f t="shared" si="172"/>
        <v>0</v>
      </c>
      <c r="AC68" s="150">
        <f t="shared" si="173"/>
        <v>0</v>
      </c>
      <c r="AD68" s="150">
        <f t="shared" si="166"/>
        <v>0</v>
      </c>
      <c r="AE68" s="150">
        <f t="shared" si="167"/>
        <v>0</v>
      </c>
      <c r="AF68" s="150">
        <f t="shared" si="174"/>
        <v>0</v>
      </c>
      <c r="AG68" s="150">
        <f t="shared" si="175"/>
        <v>0</v>
      </c>
      <c r="AH68" s="76">
        <v>400000</v>
      </c>
      <c r="AI68" s="76">
        <v>600000</v>
      </c>
      <c r="AJ68" s="76">
        <f t="shared" si="188"/>
        <v>500000</v>
      </c>
      <c r="AK68" s="76">
        <f t="shared" si="189"/>
        <v>400000</v>
      </c>
      <c r="AL68" s="76">
        <f t="shared" si="190"/>
        <v>600000</v>
      </c>
      <c r="AM68" s="76">
        <f t="shared" si="147"/>
        <v>500000</v>
      </c>
      <c r="AN68" s="108">
        <v>0.4</v>
      </c>
      <c r="AO68" s="76">
        <v>50000</v>
      </c>
      <c r="AP68" s="76">
        <f>(AK68*(1+$AN$2))+AO68</f>
        <v>610000</v>
      </c>
      <c r="AQ68" s="76">
        <f>(AL68*(1+$AN$2))+AO68</f>
        <v>890000</v>
      </c>
      <c r="AR68" s="76">
        <f t="shared" si="60"/>
        <v>750000</v>
      </c>
      <c r="AS68" s="76">
        <v>5000</v>
      </c>
      <c r="AT68" s="76">
        <v>10000</v>
      </c>
      <c r="AU68" s="76">
        <f t="shared" si="193"/>
        <v>7500</v>
      </c>
      <c r="AV68" s="76">
        <f t="shared" si="194"/>
        <v>5000</v>
      </c>
      <c r="AW68" s="76">
        <f t="shared" si="195"/>
        <v>10000</v>
      </c>
      <c r="AX68" s="76">
        <f t="shared" si="148"/>
        <v>7500</v>
      </c>
      <c r="AY68" s="337">
        <v>0.1</v>
      </c>
      <c r="AZ68" s="51">
        <v>0.2</v>
      </c>
      <c r="BA68" s="51">
        <v>0.1</v>
      </c>
      <c r="BB68" s="338" t="s">
        <v>308</v>
      </c>
      <c r="BC68" s="76">
        <f t="shared" si="202"/>
        <v>732000</v>
      </c>
      <c r="BD68" s="76">
        <f t="shared" si="203"/>
        <v>1068000</v>
      </c>
      <c r="BE68" s="76">
        <f t="shared" si="48"/>
        <v>900000</v>
      </c>
      <c r="BF68" s="76">
        <f t="shared" si="198"/>
        <v>5500</v>
      </c>
      <c r="BG68" s="76">
        <f t="shared" si="199"/>
        <v>11000</v>
      </c>
      <c r="BH68" s="76">
        <f t="shared" si="6"/>
        <v>8250</v>
      </c>
      <c r="BI68" s="4">
        <v>10</v>
      </c>
      <c r="BJ68" s="76">
        <v>100000</v>
      </c>
      <c r="BK68" s="76">
        <f t="shared" si="160"/>
        <v>200000</v>
      </c>
      <c r="BL68" s="116">
        <f t="shared" si="153"/>
        <v>99080.273641375985</v>
      </c>
      <c r="BM68" s="4">
        <f t="shared" si="168"/>
        <v>0</v>
      </c>
      <c r="BN68" s="4">
        <f t="shared" si="65"/>
        <v>0</v>
      </c>
      <c r="BO68" s="4">
        <f t="shared" si="157"/>
        <v>0</v>
      </c>
      <c r="BP68" s="4">
        <f t="shared" si="66"/>
        <v>0</v>
      </c>
      <c r="BQ68" s="335">
        <f t="shared" si="206"/>
        <v>0</v>
      </c>
      <c r="BR68" s="335">
        <f t="shared" si="206"/>
        <v>0</v>
      </c>
      <c r="BS68" s="335">
        <f t="shared" si="207"/>
        <v>0</v>
      </c>
      <c r="BT68" s="335">
        <f t="shared" si="207"/>
        <v>0</v>
      </c>
      <c r="BU68" s="76">
        <f>IF((Y68+Z68+AD68+AE68=0),(BE68+PV($BY$2,$CB$2,-BH68,0,0)),"N/A")</f>
        <v>1002813.2353259549</v>
      </c>
      <c r="BV68" s="116" t="s">
        <v>77</v>
      </c>
      <c r="BW68" s="88" t="s">
        <v>77</v>
      </c>
      <c r="BX68" s="88" t="s">
        <v>77</v>
      </c>
      <c r="BY68" s="89" t="s">
        <v>77</v>
      </c>
      <c r="BZ68" s="88" t="s">
        <v>77</v>
      </c>
      <c r="CA68" s="88" t="s">
        <v>77</v>
      </c>
      <c r="CB68" s="89" t="s">
        <v>77</v>
      </c>
      <c r="CC68" s="88" t="s">
        <v>77</v>
      </c>
      <c r="CD68" s="88" t="s">
        <v>77</v>
      </c>
      <c r="CE68" s="89" t="s">
        <v>77</v>
      </c>
      <c r="CF68" s="88" t="s">
        <v>77</v>
      </c>
      <c r="CG68" s="88" t="s">
        <v>77</v>
      </c>
      <c r="CH68" s="89" t="s">
        <v>77</v>
      </c>
      <c r="CI68" s="41">
        <f>IF(Z68&gt;0,((BC68+PV($BY$2,$CB$2,-BF68,0,0))/Z68),0)</f>
        <v>0</v>
      </c>
      <c r="CJ68" s="41">
        <f>IF(Y68&gt;0,((BD68+PV($BY$2,$CB$2,-BG68,0,0))/Y68),0)</f>
        <v>0</v>
      </c>
      <c r="CK68" s="41">
        <f>IF(AE68&gt;0,((BC68+PV($BY$2,$CB$2,-BF68,0,0))/AE68),0)</f>
        <v>0</v>
      </c>
      <c r="CL68" s="41">
        <f>IF(AD68&gt;0,((BD68+PV($BY$2,$CB$2,-BG68,0,0))/AD68),0)</f>
        <v>0</v>
      </c>
      <c r="CM68" s="88" t="s">
        <v>77</v>
      </c>
      <c r="CN68" s="88" t="s">
        <v>77</v>
      </c>
      <c r="CO68" s="89" t="s">
        <v>77</v>
      </c>
      <c r="CP68" s="88" t="s">
        <v>77</v>
      </c>
      <c r="CQ68" s="88" t="s">
        <v>77</v>
      </c>
      <c r="CR68" s="89" t="s">
        <v>77</v>
      </c>
      <c r="CS68" s="88" t="s">
        <v>77</v>
      </c>
      <c r="CT68" s="88" t="s">
        <v>77</v>
      </c>
      <c r="CU68" s="89" t="s">
        <v>77</v>
      </c>
      <c r="CV68" s="88" t="s">
        <v>77</v>
      </c>
      <c r="CW68" s="88" t="s">
        <v>77</v>
      </c>
      <c r="CX68" s="89" t="s">
        <v>77</v>
      </c>
      <c r="CY68" s="299" t="s">
        <v>322</v>
      </c>
      <c r="CZ68" s="298" t="s">
        <v>56</v>
      </c>
      <c r="DA68" s="298" t="s">
        <v>57</v>
      </c>
      <c r="DB68" s="298" t="s">
        <v>77</v>
      </c>
      <c r="DC68" s="298" t="s">
        <v>57</v>
      </c>
      <c r="DD68" s="285" t="s">
        <v>184</v>
      </c>
      <c r="DE68" s="285" t="s">
        <v>185</v>
      </c>
      <c r="DF68" s="298" t="s">
        <v>57</v>
      </c>
      <c r="DG68" s="298" t="s">
        <v>57</v>
      </c>
      <c r="DH68" s="298" t="s">
        <v>57</v>
      </c>
      <c r="DI68" s="298" t="s">
        <v>57</v>
      </c>
      <c r="DJ68" s="279" t="s">
        <v>377</v>
      </c>
      <c r="DK68" s="280" t="s">
        <v>373</v>
      </c>
      <c r="DL68" s="280" t="s">
        <v>77</v>
      </c>
      <c r="DM68" s="279" t="s">
        <v>371</v>
      </c>
      <c r="DN68" s="280" t="s">
        <v>552</v>
      </c>
      <c r="DO68" s="285"/>
      <c r="DP68" s="279" t="s">
        <v>186</v>
      </c>
      <c r="DQ68" s="109"/>
      <c r="DR68" s="28"/>
      <c r="DS68" s="28"/>
      <c r="DT68" s="28"/>
      <c r="DU68" s="28"/>
      <c r="DV68" s="28"/>
      <c r="DW68" s="28"/>
      <c r="DX68" s="28"/>
      <c r="DY68" s="28"/>
    </row>
    <row r="69" spans="1:129" ht="367.5" customHeight="1" x14ac:dyDescent="0.2">
      <c r="A69" s="527"/>
      <c r="B69" s="294" t="s">
        <v>187</v>
      </c>
      <c r="C69" s="84"/>
      <c r="D69" s="241">
        <v>809</v>
      </c>
      <c r="E69" s="279" t="s">
        <v>633</v>
      </c>
      <c r="F69" s="286" t="s">
        <v>84</v>
      </c>
      <c r="G69" s="286" t="s">
        <v>77</v>
      </c>
      <c r="H69" s="286" t="s">
        <v>77</v>
      </c>
      <c r="I69" s="285" t="s">
        <v>610</v>
      </c>
      <c r="J69" s="279" t="s">
        <v>188</v>
      </c>
      <c r="K69" s="280"/>
      <c r="L69" s="280" t="s">
        <v>10</v>
      </c>
      <c r="M69" s="321">
        <v>1</v>
      </c>
      <c r="N69" s="11" t="s">
        <v>77</v>
      </c>
      <c r="O69" s="317" t="s">
        <v>77</v>
      </c>
      <c r="P69" s="317" t="s">
        <v>77</v>
      </c>
      <c r="Q69" s="3">
        <v>0</v>
      </c>
      <c r="R69" s="3">
        <v>0</v>
      </c>
      <c r="S69" s="4">
        <v>100</v>
      </c>
      <c r="T69" s="4">
        <v>100</v>
      </c>
      <c r="U69" s="4">
        <v>100</v>
      </c>
      <c r="V69" s="4">
        <v>100</v>
      </c>
      <c r="W69" s="51" t="s">
        <v>77</v>
      </c>
      <c r="X69" s="51" t="s">
        <v>77</v>
      </c>
      <c r="Y69" s="150">
        <f t="shared" si="161"/>
        <v>0</v>
      </c>
      <c r="Z69" s="150">
        <f t="shared" si="162"/>
        <v>0</v>
      </c>
      <c r="AA69" s="150">
        <f t="shared" si="163"/>
        <v>0</v>
      </c>
      <c r="AB69" s="150">
        <f t="shared" si="172"/>
        <v>0</v>
      </c>
      <c r="AC69" s="150">
        <f t="shared" si="173"/>
        <v>0</v>
      </c>
      <c r="AD69" s="150">
        <f t="shared" si="166"/>
        <v>0</v>
      </c>
      <c r="AE69" s="150">
        <f t="shared" si="167"/>
        <v>0</v>
      </c>
      <c r="AF69" s="150">
        <f t="shared" si="174"/>
        <v>0</v>
      </c>
      <c r="AG69" s="150">
        <f t="shared" si="175"/>
        <v>0</v>
      </c>
      <c r="AH69" s="76">
        <v>1000</v>
      </c>
      <c r="AI69" s="76">
        <v>2000</v>
      </c>
      <c r="AJ69" s="76">
        <f t="shared" si="188"/>
        <v>1500</v>
      </c>
      <c r="AK69" s="76">
        <f t="shared" si="189"/>
        <v>1000</v>
      </c>
      <c r="AL69" s="76">
        <f t="shared" si="190"/>
        <v>2000</v>
      </c>
      <c r="AM69" s="76">
        <f t="shared" si="147"/>
        <v>1500</v>
      </c>
      <c r="AN69" s="108">
        <v>0.4</v>
      </c>
      <c r="AO69" s="76">
        <v>0</v>
      </c>
      <c r="AP69" s="76">
        <f>(AK69*(1+$AN$2))+AO69</f>
        <v>1400</v>
      </c>
      <c r="AQ69" s="76">
        <f>(AL69*(1+$AN$2))+AO69</f>
        <v>2800</v>
      </c>
      <c r="AR69" s="76">
        <f t="shared" si="60"/>
        <v>2100</v>
      </c>
      <c r="AS69" s="116">
        <v>1.65</v>
      </c>
      <c r="AT69" s="116">
        <v>6</v>
      </c>
      <c r="AU69" s="76">
        <f t="shared" si="193"/>
        <v>3.8250000000000002</v>
      </c>
      <c r="AV69" s="76">
        <f t="shared" si="194"/>
        <v>1.65</v>
      </c>
      <c r="AW69" s="76">
        <f t="shared" si="195"/>
        <v>6</v>
      </c>
      <c r="AX69" s="76">
        <f t="shared" si="148"/>
        <v>3.8250000000000002</v>
      </c>
      <c r="AY69" s="51">
        <v>0</v>
      </c>
      <c r="AZ69" s="51">
        <v>0.3</v>
      </c>
      <c r="BA69" s="51">
        <v>0</v>
      </c>
      <c r="BB69" s="338" t="s">
        <v>309</v>
      </c>
      <c r="BC69" s="76">
        <f t="shared" si="202"/>
        <v>1820</v>
      </c>
      <c r="BD69" s="76">
        <f t="shared" si="203"/>
        <v>3640</v>
      </c>
      <c r="BE69" s="76">
        <f t="shared" si="48"/>
        <v>2730</v>
      </c>
      <c r="BF69" s="76">
        <f t="shared" si="198"/>
        <v>1.65</v>
      </c>
      <c r="BG69" s="76">
        <f t="shared" si="199"/>
        <v>6</v>
      </c>
      <c r="BH69" s="76">
        <f t="shared" si="6"/>
        <v>3.8250000000000002</v>
      </c>
      <c r="BI69" s="4">
        <v>100</v>
      </c>
      <c r="BJ69" s="76">
        <v>0</v>
      </c>
      <c r="BK69" s="76">
        <f t="shared" si="160"/>
        <v>0</v>
      </c>
      <c r="BL69" s="116">
        <f t="shared" si="153"/>
        <v>0</v>
      </c>
      <c r="BM69" s="4">
        <f t="shared" si="168"/>
        <v>0</v>
      </c>
      <c r="BN69" s="4">
        <f t="shared" si="65"/>
        <v>0</v>
      </c>
      <c r="BO69" s="4">
        <f t="shared" si="157"/>
        <v>0</v>
      </c>
      <c r="BP69" s="4">
        <f t="shared" si="66"/>
        <v>0</v>
      </c>
      <c r="BQ69" s="335">
        <f t="shared" si="206"/>
        <v>0</v>
      </c>
      <c r="BR69" s="335">
        <f t="shared" si="206"/>
        <v>0</v>
      </c>
      <c r="BS69" s="335">
        <f t="shared" si="207"/>
        <v>0</v>
      </c>
      <c r="BT69" s="335">
        <f t="shared" si="207"/>
        <v>0</v>
      </c>
      <c r="BU69" s="76">
        <f>IF((Y69+Z69+AD69+AE69=0),(BE69+PV($BY$2,$CB$2,-BH69,0,0)),"N/A")</f>
        <v>2777.6679545602155</v>
      </c>
      <c r="BV69" s="116" t="s">
        <v>77</v>
      </c>
      <c r="BW69" s="88" t="s">
        <v>77</v>
      </c>
      <c r="BX69" s="88" t="s">
        <v>77</v>
      </c>
      <c r="BY69" s="89" t="s">
        <v>77</v>
      </c>
      <c r="BZ69" s="88" t="s">
        <v>77</v>
      </c>
      <c r="CA69" s="88" t="s">
        <v>77</v>
      </c>
      <c r="CB69" s="89" t="s">
        <v>77</v>
      </c>
      <c r="CC69" s="88" t="s">
        <v>77</v>
      </c>
      <c r="CD69" s="88" t="s">
        <v>77</v>
      </c>
      <c r="CE69" s="89" t="s">
        <v>77</v>
      </c>
      <c r="CF69" s="88" t="s">
        <v>77</v>
      </c>
      <c r="CG69" s="88" t="s">
        <v>77</v>
      </c>
      <c r="CH69" s="89" t="s">
        <v>77</v>
      </c>
      <c r="CI69" s="41">
        <f>IF(Z69&gt;0,((BC69+PV($BY$2,$CB$2,-BF69,0,0))/Z69),0)</f>
        <v>0</v>
      </c>
      <c r="CJ69" s="41">
        <f>IF(Y69&gt;0,((BD69+PV($BY$2,$CB$2,-BG69,0,0))/Y69),0)</f>
        <v>0</v>
      </c>
      <c r="CK69" s="41">
        <f>IF(AE69&gt;0,((BC69+PV($BY$2,$CB$2,-BF69,0,0))/AE69),0)</f>
        <v>0</v>
      </c>
      <c r="CL69" s="41">
        <f>IF(AD69&gt;0,((BD69+PV($BY$2,$CB$2,-BG69,0,0))/AD69),0)</f>
        <v>0</v>
      </c>
      <c r="CM69" s="88" t="s">
        <v>77</v>
      </c>
      <c r="CN69" s="88" t="s">
        <v>77</v>
      </c>
      <c r="CO69" s="89" t="s">
        <v>77</v>
      </c>
      <c r="CP69" s="88" t="s">
        <v>77</v>
      </c>
      <c r="CQ69" s="88" t="s">
        <v>77</v>
      </c>
      <c r="CR69" s="89" t="s">
        <v>77</v>
      </c>
      <c r="CS69" s="88" t="s">
        <v>77</v>
      </c>
      <c r="CT69" s="88" t="s">
        <v>77</v>
      </c>
      <c r="CU69" s="89" t="s">
        <v>77</v>
      </c>
      <c r="CV69" s="88" t="s">
        <v>77</v>
      </c>
      <c r="CW69" s="88" t="s">
        <v>77</v>
      </c>
      <c r="CX69" s="89" t="s">
        <v>77</v>
      </c>
      <c r="CY69" s="299" t="s">
        <v>322</v>
      </c>
      <c r="CZ69" s="298" t="s">
        <v>56</v>
      </c>
      <c r="DA69" s="298" t="s">
        <v>57</v>
      </c>
      <c r="DB69" s="298" t="s">
        <v>77</v>
      </c>
      <c r="DC69" s="298" t="s">
        <v>57</v>
      </c>
      <c r="DD69" s="279" t="s">
        <v>189</v>
      </c>
      <c r="DE69" s="285" t="s">
        <v>634</v>
      </c>
      <c r="DF69" s="298" t="s">
        <v>57</v>
      </c>
      <c r="DG69" s="298" t="s">
        <v>57</v>
      </c>
      <c r="DH69" s="298" t="s">
        <v>57</v>
      </c>
      <c r="DI69" s="298" t="s">
        <v>57</v>
      </c>
      <c r="DJ69" s="279" t="s">
        <v>377</v>
      </c>
      <c r="DK69" s="280" t="s">
        <v>373</v>
      </c>
      <c r="DL69" s="280" t="s">
        <v>77</v>
      </c>
      <c r="DM69" s="279" t="s">
        <v>371</v>
      </c>
      <c r="DN69" s="280" t="s">
        <v>552</v>
      </c>
      <c r="DO69" s="279"/>
      <c r="DP69" s="279" t="s">
        <v>190</v>
      </c>
      <c r="DQ69" s="109" t="s">
        <v>191</v>
      </c>
      <c r="DR69" s="28"/>
      <c r="DS69" s="28"/>
      <c r="DT69" s="28"/>
      <c r="DU69" s="28"/>
      <c r="DV69" s="28"/>
      <c r="DW69" s="28"/>
      <c r="DX69" s="28"/>
      <c r="DY69" s="28"/>
    </row>
    <row r="70" spans="1:129" ht="111.75" customHeight="1" x14ac:dyDescent="0.2">
      <c r="A70" s="527"/>
      <c r="B70" s="512" t="s">
        <v>192</v>
      </c>
      <c r="C70" s="479"/>
      <c r="D70" s="479">
        <v>810</v>
      </c>
      <c r="E70" s="379" t="s">
        <v>193</v>
      </c>
      <c r="F70" s="516" t="s">
        <v>84</v>
      </c>
      <c r="G70" s="516" t="s">
        <v>77</v>
      </c>
      <c r="H70" s="516" t="s">
        <v>77</v>
      </c>
      <c r="I70" s="381" t="s">
        <v>611</v>
      </c>
      <c r="J70" s="379" t="s">
        <v>194</v>
      </c>
      <c r="K70" s="514"/>
      <c r="L70" s="514" t="s">
        <v>10</v>
      </c>
      <c r="M70" s="510">
        <v>1</v>
      </c>
      <c r="N70" s="306" t="s">
        <v>77</v>
      </c>
      <c r="O70" s="487" t="s">
        <v>77</v>
      </c>
      <c r="P70" s="487" t="s">
        <v>77</v>
      </c>
      <c r="Q70" s="401">
        <v>0</v>
      </c>
      <c r="R70" s="401">
        <v>0</v>
      </c>
      <c r="S70" s="397">
        <v>100</v>
      </c>
      <c r="T70" s="397">
        <v>100</v>
      </c>
      <c r="U70" s="397">
        <v>100</v>
      </c>
      <c r="V70" s="397">
        <v>100</v>
      </c>
      <c r="W70" s="403" t="s">
        <v>77</v>
      </c>
      <c r="X70" s="403" t="s">
        <v>77</v>
      </c>
      <c r="Y70" s="399">
        <f t="shared" si="161"/>
        <v>0</v>
      </c>
      <c r="Z70" s="399">
        <f t="shared" si="162"/>
        <v>0</v>
      </c>
      <c r="AA70" s="399">
        <f t="shared" si="163"/>
        <v>0</v>
      </c>
      <c r="AB70" s="399">
        <f>Z70*0.4536</f>
        <v>0</v>
      </c>
      <c r="AC70" s="150"/>
      <c r="AD70" s="399">
        <f t="shared" si="166"/>
        <v>0</v>
      </c>
      <c r="AE70" s="399">
        <f t="shared" si="167"/>
        <v>0</v>
      </c>
      <c r="AF70" s="399">
        <f>AD70*0.4536</f>
        <v>0</v>
      </c>
      <c r="AG70" s="399">
        <f>AE70*0.4536</f>
        <v>0</v>
      </c>
      <c r="AH70" s="383">
        <v>150</v>
      </c>
      <c r="AI70" s="383">
        <v>200</v>
      </c>
      <c r="AJ70" s="383">
        <f>(AH70+AI70)/2</f>
        <v>175</v>
      </c>
      <c r="AK70" s="383">
        <f t="shared" si="189"/>
        <v>150</v>
      </c>
      <c r="AL70" s="383">
        <f t="shared" si="190"/>
        <v>200</v>
      </c>
      <c r="AM70" s="383">
        <f t="shared" si="147"/>
        <v>175</v>
      </c>
      <c r="AN70" s="587">
        <v>0.2</v>
      </c>
      <c r="AO70" s="383">
        <v>0</v>
      </c>
      <c r="AP70" s="383">
        <f>(AK70*(1+$AN$2))+AO70</f>
        <v>210</v>
      </c>
      <c r="AQ70" s="383">
        <f>(AL70*(1+$AN$2))+AO70</f>
        <v>280</v>
      </c>
      <c r="AR70" s="383">
        <f>(AP70+AQ70)/2</f>
        <v>245</v>
      </c>
      <c r="AS70" s="385">
        <v>1.65</v>
      </c>
      <c r="AT70" s="385">
        <v>3</v>
      </c>
      <c r="AU70" s="383">
        <f>(AS70+AT70)/2</f>
        <v>2.3250000000000002</v>
      </c>
      <c r="AV70" s="383">
        <f t="shared" si="194"/>
        <v>1.65</v>
      </c>
      <c r="AW70" s="383">
        <f t="shared" si="195"/>
        <v>3</v>
      </c>
      <c r="AX70" s="383">
        <f t="shared" si="148"/>
        <v>2.3250000000000002</v>
      </c>
      <c r="AY70" s="403">
        <v>0</v>
      </c>
      <c r="AZ70" s="403">
        <v>0</v>
      </c>
      <c r="BA70" s="403">
        <v>0</v>
      </c>
      <c r="BB70" s="405"/>
      <c r="BC70" s="383">
        <f>AP70*(1+$AZ70)</f>
        <v>210</v>
      </c>
      <c r="BD70" s="383">
        <f>AQ70*(1+$AZ70)</f>
        <v>280</v>
      </c>
      <c r="BE70" s="383">
        <f>AR70*(1+$AZ70)</f>
        <v>245</v>
      </c>
      <c r="BF70" s="383">
        <f>AV70*(1+$BA70)</f>
        <v>1.65</v>
      </c>
      <c r="BG70" s="383">
        <f>AW70*(1+$BA70)</f>
        <v>3</v>
      </c>
      <c r="BH70" s="383">
        <f>AX70*(1+$BA70)</f>
        <v>2.3250000000000002</v>
      </c>
      <c r="BI70" s="397">
        <v>100</v>
      </c>
      <c r="BJ70" s="383">
        <v>0</v>
      </c>
      <c r="BK70" s="383">
        <f>IF(($CB$2/BI70)&gt;0,((($CB$2/BI70))*BJ70),0)</f>
        <v>0</v>
      </c>
      <c r="BL70" s="385">
        <f>PV(((1+$BY$2)^BI70)-1,ROUNDUP($CB$2/BI70,0),-BJ70,0,0)</f>
        <v>0</v>
      </c>
      <c r="BM70" s="397">
        <f t="shared" si="168"/>
        <v>0</v>
      </c>
      <c r="BN70" s="397">
        <f>BM70*0.4536</f>
        <v>0</v>
      </c>
      <c r="BO70" s="397">
        <f t="shared" si="157"/>
        <v>0</v>
      </c>
      <c r="BP70" s="397">
        <f>BO70*0.4536</f>
        <v>0</v>
      </c>
      <c r="BQ70" s="335">
        <f t="shared" ref="BQ70:BQ71" si="208">IF($Q70&lt;$W$112,BM70,(BM70-((BM70/$Q70)*($Q70-$W$112))))</f>
        <v>0</v>
      </c>
      <c r="BR70" s="335">
        <f t="shared" ref="BR70:BR71" si="209">IF($Q70&lt;$W$112,BN70,(BN70-((BN70/$Q70)*($Q70-$W$112))))</f>
        <v>0</v>
      </c>
      <c r="BS70" s="335">
        <f t="shared" ref="BS70:BS71" si="210">IF($R70&lt;$X$112,BO70,(BO70-((BO70/$R70)*($R70-$X$112))))</f>
        <v>0</v>
      </c>
      <c r="BT70" s="335">
        <f t="shared" ref="BT70:BT71" si="211">IF($R70&lt;$X$112,BP70,(BP70-((BP70/$R70)*($R70-$X$112))))</f>
        <v>0</v>
      </c>
      <c r="BU70" s="383">
        <f>IF((Y70+Z70+AD70+AE70=0),(BE70+PV($BY$2,$CB$2,-BH70,0,0)),"N/A")</f>
        <v>273.97463904640546</v>
      </c>
      <c r="BV70" s="385" t="s">
        <v>77</v>
      </c>
      <c r="BW70" s="387" t="s">
        <v>77</v>
      </c>
      <c r="BX70" s="387" t="s">
        <v>77</v>
      </c>
      <c r="BY70" s="389" t="s">
        <v>77</v>
      </c>
      <c r="BZ70" s="387" t="s">
        <v>77</v>
      </c>
      <c r="CA70" s="387" t="s">
        <v>77</v>
      </c>
      <c r="CB70" s="389" t="s">
        <v>77</v>
      </c>
      <c r="CC70" s="387" t="s">
        <v>77</v>
      </c>
      <c r="CD70" s="387" t="s">
        <v>77</v>
      </c>
      <c r="CE70" s="389" t="s">
        <v>77</v>
      </c>
      <c r="CF70" s="387" t="s">
        <v>77</v>
      </c>
      <c r="CG70" s="387" t="s">
        <v>77</v>
      </c>
      <c r="CH70" s="389" t="s">
        <v>77</v>
      </c>
      <c r="CI70" s="41"/>
      <c r="CJ70" s="41"/>
      <c r="CK70" s="41"/>
      <c r="CL70" s="41"/>
      <c r="CM70" s="387" t="s">
        <v>77</v>
      </c>
      <c r="CN70" s="387" t="s">
        <v>77</v>
      </c>
      <c r="CO70" s="389" t="s">
        <v>77</v>
      </c>
      <c r="CP70" s="387" t="s">
        <v>77</v>
      </c>
      <c r="CQ70" s="387" t="s">
        <v>77</v>
      </c>
      <c r="CR70" s="389" t="s">
        <v>77</v>
      </c>
      <c r="CS70" s="387" t="s">
        <v>77</v>
      </c>
      <c r="CT70" s="387" t="s">
        <v>77</v>
      </c>
      <c r="CU70" s="389" t="s">
        <v>77</v>
      </c>
      <c r="CV70" s="387" t="s">
        <v>77</v>
      </c>
      <c r="CW70" s="387" t="s">
        <v>77</v>
      </c>
      <c r="CX70" s="389" t="s">
        <v>77</v>
      </c>
      <c r="CY70" s="564" t="s">
        <v>122</v>
      </c>
      <c r="CZ70" s="377" t="s">
        <v>57</v>
      </c>
      <c r="DA70" s="377" t="s">
        <v>57</v>
      </c>
      <c r="DB70" s="377" t="s">
        <v>77</v>
      </c>
      <c r="DC70" s="377" t="s">
        <v>57</v>
      </c>
      <c r="DD70" s="379" t="s">
        <v>189</v>
      </c>
      <c r="DE70" s="381" t="s">
        <v>273</v>
      </c>
      <c r="DF70" s="377" t="s">
        <v>57</v>
      </c>
      <c r="DG70" s="377" t="s">
        <v>57</v>
      </c>
      <c r="DH70" s="377" t="s">
        <v>57</v>
      </c>
      <c r="DI70" s="377" t="s">
        <v>57</v>
      </c>
      <c r="DJ70" s="514" t="s">
        <v>77</v>
      </c>
      <c r="DK70" s="514" t="s">
        <v>77</v>
      </c>
      <c r="DL70" s="514" t="s">
        <v>77</v>
      </c>
      <c r="DM70" s="514" t="s">
        <v>77</v>
      </c>
      <c r="DN70" s="514" t="s">
        <v>77</v>
      </c>
      <c r="DO70" s="514"/>
      <c r="DP70" s="379" t="s">
        <v>195</v>
      </c>
      <c r="DQ70" s="109"/>
      <c r="DR70" s="28"/>
      <c r="DS70" s="28"/>
      <c r="DT70" s="28"/>
      <c r="DU70" s="28"/>
      <c r="DV70" s="28"/>
      <c r="DW70" s="28"/>
      <c r="DX70" s="28"/>
      <c r="DY70" s="28"/>
    </row>
    <row r="71" spans="1:129" ht="51.75" hidden="1" customHeight="1" x14ac:dyDescent="0.2">
      <c r="A71" s="539"/>
      <c r="B71" s="513"/>
      <c r="C71" s="481"/>
      <c r="D71" s="481"/>
      <c r="E71" s="380"/>
      <c r="F71" s="517"/>
      <c r="G71" s="517"/>
      <c r="H71" s="517"/>
      <c r="I71" s="382"/>
      <c r="J71" s="380"/>
      <c r="K71" s="515"/>
      <c r="L71" s="515"/>
      <c r="M71" s="511"/>
      <c r="N71" s="485"/>
      <c r="O71" s="488"/>
      <c r="P71" s="518"/>
      <c r="Q71" s="402"/>
      <c r="R71" s="402"/>
      <c r="S71" s="398"/>
      <c r="T71" s="398"/>
      <c r="U71" s="398"/>
      <c r="V71" s="398"/>
      <c r="W71" s="404"/>
      <c r="X71" s="404"/>
      <c r="Y71" s="400"/>
      <c r="Z71" s="400"/>
      <c r="AA71" s="400"/>
      <c r="AB71" s="400"/>
      <c r="AC71" s="150">
        <f>(AA70+AB70)/2</f>
        <v>0</v>
      </c>
      <c r="AD71" s="400"/>
      <c r="AE71" s="400"/>
      <c r="AF71" s="400"/>
      <c r="AG71" s="400"/>
      <c r="AH71" s="384"/>
      <c r="AI71" s="384"/>
      <c r="AJ71" s="384"/>
      <c r="AK71" s="384"/>
      <c r="AL71" s="384"/>
      <c r="AM71" s="384"/>
      <c r="AN71" s="588"/>
      <c r="AO71" s="384"/>
      <c r="AP71" s="384"/>
      <c r="AQ71" s="384"/>
      <c r="AR71" s="384"/>
      <c r="AS71" s="386"/>
      <c r="AT71" s="386"/>
      <c r="AU71" s="384"/>
      <c r="AV71" s="384"/>
      <c r="AW71" s="384"/>
      <c r="AX71" s="384"/>
      <c r="AY71" s="404"/>
      <c r="AZ71" s="404"/>
      <c r="BA71" s="404"/>
      <c r="BB71" s="406"/>
      <c r="BC71" s="384"/>
      <c r="BD71" s="384"/>
      <c r="BE71" s="384"/>
      <c r="BF71" s="384"/>
      <c r="BG71" s="384"/>
      <c r="BH71" s="384"/>
      <c r="BI71" s="398"/>
      <c r="BJ71" s="384"/>
      <c r="BK71" s="384"/>
      <c r="BL71" s="386"/>
      <c r="BM71" s="398"/>
      <c r="BN71" s="398"/>
      <c r="BO71" s="398"/>
      <c r="BP71" s="398"/>
      <c r="BQ71" s="335">
        <f t="shared" si="208"/>
        <v>0</v>
      </c>
      <c r="BR71" s="335">
        <f t="shared" si="209"/>
        <v>0</v>
      </c>
      <c r="BS71" s="335">
        <f t="shared" si="210"/>
        <v>0</v>
      </c>
      <c r="BT71" s="335">
        <f t="shared" si="211"/>
        <v>0</v>
      </c>
      <c r="BU71" s="384"/>
      <c r="BV71" s="386"/>
      <c r="BW71" s="388"/>
      <c r="BX71" s="388"/>
      <c r="BY71" s="390"/>
      <c r="BZ71" s="388"/>
      <c r="CA71" s="388"/>
      <c r="CB71" s="390"/>
      <c r="CC71" s="388"/>
      <c r="CD71" s="388"/>
      <c r="CE71" s="390"/>
      <c r="CF71" s="388"/>
      <c r="CG71" s="388"/>
      <c r="CH71" s="390"/>
      <c r="CI71" s="41">
        <f>IF(Z70&gt;0,((BC70+PV($BY$2,$CB$2,-BF70,0,0))/Z70),0)</f>
        <v>0</v>
      </c>
      <c r="CJ71" s="41">
        <f>IF(Y70&gt;0,((BD70+PV($BY$2,$CB$2,-BG70,0,0))/Y70),0)</f>
        <v>0</v>
      </c>
      <c r="CK71" s="41">
        <f>IF(AE70&gt;0,((BC70+PV($BY$2,$CB$2,-BF70,0,0))/AE70),0)</f>
        <v>0</v>
      </c>
      <c r="CL71" s="41">
        <f>IF(AD70&gt;0,((BD70+PV($BY$2,$CB$2,-BG70,0,0))/AD70),0)</f>
        <v>0</v>
      </c>
      <c r="CM71" s="388"/>
      <c r="CN71" s="388"/>
      <c r="CO71" s="390"/>
      <c r="CP71" s="388"/>
      <c r="CQ71" s="388"/>
      <c r="CR71" s="390"/>
      <c r="CS71" s="388"/>
      <c r="CT71" s="388"/>
      <c r="CU71" s="390"/>
      <c r="CV71" s="388"/>
      <c r="CW71" s="388"/>
      <c r="CX71" s="390"/>
      <c r="CY71" s="565"/>
      <c r="CZ71" s="378"/>
      <c r="DA71" s="378"/>
      <c r="DB71" s="378"/>
      <c r="DC71" s="378"/>
      <c r="DD71" s="380"/>
      <c r="DE71" s="382"/>
      <c r="DF71" s="378"/>
      <c r="DG71" s="378"/>
      <c r="DH71" s="378"/>
      <c r="DI71" s="378"/>
      <c r="DJ71" s="515"/>
      <c r="DK71" s="515"/>
      <c r="DL71" s="515"/>
      <c r="DM71" s="515"/>
      <c r="DN71" s="515"/>
      <c r="DO71" s="515"/>
      <c r="DP71" s="380"/>
      <c r="DQ71" s="109" t="s">
        <v>196</v>
      </c>
      <c r="DR71" s="28"/>
      <c r="DS71" s="28"/>
      <c r="DT71" s="28"/>
      <c r="DU71" s="28"/>
      <c r="DV71" s="28"/>
      <c r="DW71" s="28"/>
      <c r="DX71" s="28"/>
      <c r="DY71" s="28"/>
    </row>
    <row r="72" spans="1:129" ht="98.25" hidden="1" customHeight="1" x14ac:dyDescent="0.2">
      <c r="A72" s="507" t="s">
        <v>197</v>
      </c>
      <c r="B72" s="520" t="s">
        <v>198</v>
      </c>
      <c r="C72" s="291"/>
      <c r="D72" s="291"/>
      <c r="E72" s="65" t="s">
        <v>199</v>
      </c>
      <c r="F72" s="280" t="s">
        <v>105</v>
      </c>
      <c r="G72" s="280" t="s">
        <v>106</v>
      </c>
      <c r="H72" s="298" t="s">
        <v>12</v>
      </c>
      <c r="I72" s="285" t="s">
        <v>601</v>
      </c>
      <c r="J72" s="65"/>
      <c r="K72" s="298"/>
      <c r="L72" s="280" t="s">
        <v>11</v>
      </c>
      <c r="M72" s="321">
        <v>330</v>
      </c>
      <c r="N72" s="485"/>
      <c r="O72" s="367"/>
      <c r="P72" s="316">
        <f t="shared" ref="P72:P79" si="212">M72/$P$2</f>
        <v>2.0625</v>
      </c>
      <c r="Q72" s="103">
        <f t="shared" ref="Q72:Q77" si="213">$T$113</f>
        <v>40</v>
      </c>
      <c r="R72" s="103">
        <f t="shared" ref="R72:R77" si="214">$U$113</f>
        <v>8</v>
      </c>
      <c r="S72" s="4">
        <v>0</v>
      </c>
      <c r="T72" s="4">
        <v>0</v>
      </c>
      <c r="U72" s="4">
        <v>0</v>
      </c>
      <c r="V72" s="4">
        <v>0</v>
      </c>
      <c r="W72" s="51"/>
      <c r="X72" s="51"/>
      <c r="Y72" s="4">
        <f t="shared" ref="Y72:Y79" si="215">((($Q72)*($S72/100))*(8.34*($M72/1000000)))*365</f>
        <v>0</v>
      </c>
      <c r="Z72" s="4">
        <f t="shared" ref="Z72:Z79" si="216">((($Q72)*($T72/100))*(8.34*($M72/1000000)))*365</f>
        <v>0</v>
      </c>
      <c r="AA72" s="101">
        <f t="shared" ref="AA72:AA89" si="217">Y72*0.4536</f>
        <v>0</v>
      </c>
      <c r="AB72" s="101">
        <f t="shared" si="87"/>
        <v>0</v>
      </c>
      <c r="AC72" s="101">
        <f t="shared" si="88"/>
        <v>0</v>
      </c>
      <c r="AD72" s="4">
        <f t="shared" ref="AD72:AD79" si="218">((($R72)*($U72/100))*(8.34*($M72/1000000)))*365</f>
        <v>0</v>
      </c>
      <c r="AE72" s="4">
        <f t="shared" ref="AE72:AE79" si="219">((($R72)*($V72/100))*(8.34*($M72/1000000)))*365</f>
        <v>0</v>
      </c>
      <c r="AF72" s="4">
        <f t="shared" si="89"/>
        <v>0</v>
      </c>
      <c r="AG72" s="4">
        <f t="shared" si="90"/>
        <v>0</v>
      </c>
      <c r="AH72" s="76">
        <v>0</v>
      </c>
      <c r="AI72" s="76">
        <v>0</v>
      </c>
      <c r="AJ72" s="76">
        <f t="shared" si="188"/>
        <v>0</v>
      </c>
      <c r="AK72" s="76">
        <f t="shared" ref="AK72:AM73" si="220">AH72*($AA$99/$AA$97)</f>
        <v>0</v>
      </c>
      <c r="AL72" s="76">
        <f t="shared" si="220"/>
        <v>0</v>
      </c>
      <c r="AM72" s="76">
        <f t="shared" si="220"/>
        <v>0</v>
      </c>
      <c r="AN72" s="108">
        <v>0.3</v>
      </c>
      <c r="AO72" s="108"/>
      <c r="AP72" s="76">
        <f t="shared" ref="AP72:AQ79" si="221">AK72*(1+$AN$2)</f>
        <v>0</v>
      </c>
      <c r="AQ72" s="76">
        <f t="shared" si="221"/>
        <v>0</v>
      </c>
      <c r="AR72" s="76">
        <f t="shared" si="60"/>
        <v>0</v>
      </c>
      <c r="AS72" s="76">
        <v>0</v>
      </c>
      <c r="AT72" s="76">
        <v>0</v>
      </c>
      <c r="AU72" s="76">
        <f t="shared" si="193"/>
        <v>0</v>
      </c>
      <c r="AV72" s="76">
        <f t="shared" ref="AV72:AX73" si="222">AS72*($AA$99/$AA$97)</f>
        <v>0</v>
      </c>
      <c r="AW72" s="76">
        <f t="shared" si="222"/>
        <v>0</v>
      </c>
      <c r="AX72" s="76">
        <f t="shared" si="222"/>
        <v>0</v>
      </c>
      <c r="AY72" s="51">
        <v>0</v>
      </c>
      <c r="AZ72" s="51">
        <v>0</v>
      </c>
      <c r="BA72" s="51">
        <v>0</v>
      </c>
      <c r="BB72" s="338"/>
      <c r="BC72" s="76">
        <f t="shared" si="202"/>
        <v>0</v>
      </c>
      <c r="BD72" s="76">
        <f t="shared" si="203"/>
        <v>0</v>
      </c>
      <c r="BE72" s="76">
        <f t="shared" si="48"/>
        <v>0</v>
      </c>
      <c r="BF72" s="76">
        <f t="shared" si="198"/>
        <v>0</v>
      </c>
      <c r="BG72" s="76">
        <f t="shared" si="199"/>
        <v>0</v>
      </c>
      <c r="BH72" s="76">
        <f t="shared" si="6"/>
        <v>0</v>
      </c>
      <c r="BI72" s="4">
        <v>0</v>
      </c>
      <c r="BJ72" s="76">
        <v>0</v>
      </c>
      <c r="BK72" s="76" t="e">
        <f t="shared" si="160"/>
        <v>#DIV/0!</v>
      </c>
      <c r="BL72" s="116" t="e">
        <f t="shared" ref="BL72:BL89" si="223">PV(((1+$BY$2)^BI72)-1,ROUNDUP($CB$2/BI72,0),-BJ72,0,0)</f>
        <v>#DIV/0!</v>
      </c>
      <c r="BM72" s="4">
        <f t="shared" ref="BM72:BM89" si="224">IF((($Y72+$Z72)&gt;0),((($Y72+$Z72)/2)*$CB$2),0)</f>
        <v>0</v>
      </c>
      <c r="BN72" s="4">
        <f t="shared" si="65"/>
        <v>0</v>
      </c>
      <c r="BO72" s="4">
        <f t="shared" ref="BO72:BO89" si="225">IF((($AD72+$AE72)&gt;0),((($AD72+$AE72)/2)*$CB$2),0)</f>
        <v>0</v>
      </c>
      <c r="BP72" s="4">
        <f t="shared" si="66"/>
        <v>0</v>
      </c>
      <c r="BQ72" s="4">
        <f t="shared" ref="BQ72:BQ79" si="226">IF((($Y72+$Z72)&gt;0),((($Y72+$Z72)/2)*$CB$2),0)</f>
        <v>0</v>
      </c>
      <c r="BR72" s="4">
        <f t="shared" ref="BR72:BR79" si="227">BQ72*0.4536</f>
        <v>0</v>
      </c>
      <c r="BS72" s="4">
        <f t="shared" ref="BS72:BS79" si="228">IF((($AD72+$AE72)&gt;0),((($AD72+$AE72)/2)*$CB$2),0)</f>
        <v>0</v>
      </c>
      <c r="BT72" s="4">
        <f t="shared" ref="BT72:BT79" si="229">BS72*0.4536</f>
        <v>0</v>
      </c>
      <c r="BU72" s="76">
        <f t="shared" ref="BU72:BU79" si="230">IF((Y72+Z72+AD72+AE72=0),(BE72+PV($BY$2,$CB$2,-BH72,0,0)),0)</f>
        <v>0</v>
      </c>
      <c r="BV72" s="116" t="s">
        <v>77</v>
      </c>
      <c r="BW72" s="88" t="s">
        <v>77</v>
      </c>
      <c r="BX72" s="88" t="s">
        <v>77</v>
      </c>
      <c r="BY72" s="89" t="s">
        <v>77</v>
      </c>
      <c r="BZ72" s="88" t="s">
        <v>77</v>
      </c>
      <c r="CA72" s="88" t="s">
        <v>77</v>
      </c>
      <c r="CB72" s="89" t="s">
        <v>77</v>
      </c>
      <c r="CC72" s="88" t="s">
        <v>77</v>
      </c>
      <c r="CD72" s="88" t="s">
        <v>77</v>
      </c>
      <c r="CE72" s="89" t="s">
        <v>77</v>
      </c>
      <c r="CF72" s="88" t="s">
        <v>77</v>
      </c>
      <c r="CG72" s="88" t="s">
        <v>77</v>
      </c>
      <c r="CH72" s="89" t="s">
        <v>77</v>
      </c>
      <c r="CI72" s="41">
        <f t="shared" ref="CI72:CI79" si="231">IF(Z72&gt;0,((BC72+PV($BY$2,$CB$2,-BF72,0,0))/Z72),0)</f>
        <v>0</v>
      </c>
      <c r="CJ72" s="41">
        <f t="shared" ref="CJ72:CJ79" si="232">IF(Y72&gt;0,((BD72+PV($BY$2,$CB$2,-BG72,0,0))/Y72),0)</f>
        <v>0</v>
      </c>
      <c r="CK72" s="41">
        <f t="shared" ref="CK72:CK79" si="233">IF(AE72&gt;0,((BC72+PV($BY$2,$CB$2,-BF72,0,0))/AE72),0)</f>
        <v>0</v>
      </c>
      <c r="CL72" s="41">
        <f t="shared" ref="CL72:CL79" si="234">IF(AD72&gt;0,((BD72+PV($BY$2,$CB$2,-BG72,0,0))/AD72),0)</f>
        <v>0</v>
      </c>
      <c r="CM72" s="88" t="s">
        <v>77</v>
      </c>
      <c r="CN72" s="88" t="s">
        <v>77</v>
      </c>
      <c r="CO72" s="89" t="s">
        <v>77</v>
      </c>
      <c r="CP72" s="88" t="s">
        <v>77</v>
      </c>
      <c r="CQ72" s="88" t="s">
        <v>77</v>
      </c>
      <c r="CR72" s="89" t="s">
        <v>77</v>
      </c>
      <c r="CS72" s="88" t="s">
        <v>77</v>
      </c>
      <c r="CT72" s="88" t="s">
        <v>77</v>
      </c>
      <c r="CU72" s="89" t="s">
        <v>77</v>
      </c>
      <c r="CV72" s="88" t="s">
        <v>77</v>
      </c>
      <c r="CW72" s="88" t="s">
        <v>77</v>
      </c>
      <c r="CX72" s="89" t="s">
        <v>77</v>
      </c>
      <c r="CY72" s="299" t="s">
        <v>323</v>
      </c>
      <c r="CZ72" s="298" t="s">
        <v>57</v>
      </c>
      <c r="DA72" s="298" t="s">
        <v>57</v>
      </c>
      <c r="DB72" s="298" t="s">
        <v>77</v>
      </c>
      <c r="DC72" s="298" t="s">
        <v>57</v>
      </c>
      <c r="DD72" s="65"/>
      <c r="DE72" s="65"/>
      <c r="DF72" s="298"/>
      <c r="DG72" s="298"/>
      <c r="DH72" s="298"/>
      <c r="DI72" s="298"/>
      <c r="DJ72" s="279"/>
      <c r="DK72" s="279"/>
      <c r="DL72" s="280"/>
      <c r="DM72" s="279"/>
      <c r="DN72" s="279"/>
      <c r="DO72" s="65"/>
      <c r="DP72" s="65"/>
      <c r="DQ72" s="117"/>
      <c r="DR72" s="29"/>
      <c r="DS72" s="29"/>
      <c r="DT72" s="29"/>
      <c r="DU72" s="29"/>
      <c r="DV72" s="29"/>
      <c r="DW72" s="29"/>
      <c r="DX72" s="29"/>
      <c r="DY72" s="29"/>
    </row>
    <row r="73" spans="1:129" ht="105.75" hidden="1" customHeight="1" x14ac:dyDescent="0.2">
      <c r="A73" s="507"/>
      <c r="B73" s="520"/>
      <c r="C73" s="291"/>
      <c r="D73" s="291"/>
      <c r="E73" s="65" t="s">
        <v>200</v>
      </c>
      <c r="F73" s="280" t="s">
        <v>105</v>
      </c>
      <c r="G73" s="280" t="s">
        <v>106</v>
      </c>
      <c r="H73" s="298" t="s">
        <v>12</v>
      </c>
      <c r="I73" s="285" t="s">
        <v>601</v>
      </c>
      <c r="J73" s="65"/>
      <c r="K73" s="298"/>
      <c r="L73" s="280" t="s">
        <v>11</v>
      </c>
      <c r="M73" s="321">
        <v>330</v>
      </c>
      <c r="N73" s="486"/>
      <c r="O73" s="368"/>
      <c r="P73" s="316">
        <f t="shared" si="212"/>
        <v>2.0625</v>
      </c>
      <c r="Q73" s="103">
        <f t="shared" si="213"/>
        <v>40</v>
      </c>
      <c r="R73" s="103">
        <f t="shared" si="214"/>
        <v>8</v>
      </c>
      <c r="S73" s="4">
        <v>70</v>
      </c>
      <c r="T73" s="4">
        <v>90</v>
      </c>
      <c r="U73" s="4">
        <v>70</v>
      </c>
      <c r="V73" s="4">
        <v>90</v>
      </c>
      <c r="W73" s="51"/>
      <c r="X73" s="51"/>
      <c r="Y73" s="4">
        <f t="shared" si="215"/>
        <v>28.127483999999999</v>
      </c>
      <c r="Z73" s="4">
        <f t="shared" si="216"/>
        <v>36.163907999999999</v>
      </c>
      <c r="AA73" s="101">
        <f t="shared" si="217"/>
        <v>12.758626742399999</v>
      </c>
      <c r="AB73" s="101">
        <f t="shared" si="87"/>
        <v>16.403948668799998</v>
      </c>
      <c r="AC73" s="101">
        <f t="shared" si="88"/>
        <v>14.581287705599998</v>
      </c>
      <c r="AD73" s="4">
        <f t="shared" si="218"/>
        <v>5.6254967999999996</v>
      </c>
      <c r="AE73" s="4">
        <f t="shared" si="219"/>
        <v>7.2327815999999991</v>
      </c>
      <c r="AF73" s="4">
        <f t="shared" si="89"/>
        <v>2.5517253484799998</v>
      </c>
      <c r="AG73" s="4">
        <f t="shared" si="90"/>
        <v>3.2807897337599998</v>
      </c>
      <c r="AH73" s="76">
        <v>1250</v>
      </c>
      <c r="AI73" s="76">
        <v>1500</v>
      </c>
      <c r="AJ73" s="76">
        <f t="shared" si="188"/>
        <v>1375</v>
      </c>
      <c r="AK73" s="76">
        <f t="shared" si="220"/>
        <v>1250</v>
      </c>
      <c r="AL73" s="76">
        <f t="shared" si="220"/>
        <v>1500</v>
      </c>
      <c r="AM73" s="76">
        <f t="shared" si="220"/>
        <v>1375</v>
      </c>
      <c r="AN73" s="108">
        <v>0.33</v>
      </c>
      <c r="AO73" s="108"/>
      <c r="AP73" s="76">
        <f t="shared" si="221"/>
        <v>1750</v>
      </c>
      <c r="AQ73" s="76">
        <f t="shared" si="221"/>
        <v>2100</v>
      </c>
      <c r="AR73" s="76">
        <f t="shared" si="60"/>
        <v>1925</v>
      </c>
      <c r="AS73" s="76">
        <v>500</v>
      </c>
      <c r="AT73" s="76">
        <v>600</v>
      </c>
      <c r="AU73" s="76">
        <f t="shared" si="193"/>
        <v>550</v>
      </c>
      <c r="AV73" s="76">
        <f t="shared" si="222"/>
        <v>500</v>
      </c>
      <c r="AW73" s="76">
        <f t="shared" si="222"/>
        <v>600</v>
      </c>
      <c r="AX73" s="76">
        <f t="shared" si="222"/>
        <v>550</v>
      </c>
      <c r="AY73" s="51">
        <v>0</v>
      </c>
      <c r="AZ73" s="51">
        <v>0</v>
      </c>
      <c r="BA73" s="51">
        <v>0</v>
      </c>
      <c r="BB73" s="338"/>
      <c r="BC73" s="76">
        <f t="shared" si="202"/>
        <v>1750</v>
      </c>
      <c r="BD73" s="76">
        <f t="shared" si="203"/>
        <v>2100</v>
      </c>
      <c r="BE73" s="76">
        <f t="shared" si="48"/>
        <v>1925</v>
      </c>
      <c r="BF73" s="76">
        <f t="shared" si="198"/>
        <v>500</v>
      </c>
      <c r="BG73" s="76">
        <f t="shared" si="199"/>
        <v>600</v>
      </c>
      <c r="BH73" s="76">
        <f t="shared" si="6"/>
        <v>550</v>
      </c>
      <c r="BI73" s="4">
        <v>0</v>
      </c>
      <c r="BJ73" s="76">
        <v>0</v>
      </c>
      <c r="BK73" s="76" t="e">
        <f t="shared" si="160"/>
        <v>#DIV/0!</v>
      </c>
      <c r="BL73" s="116" t="e">
        <f t="shared" si="223"/>
        <v>#DIV/0!</v>
      </c>
      <c r="BM73" s="4">
        <f t="shared" si="224"/>
        <v>642.91391999999996</v>
      </c>
      <c r="BN73" s="4">
        <f t="shared" si="65"/>
        <v>291.62575411199998</v>
      </c>
      <c r="BO73" s="4">
        <f t="shared" si="225"/>
        <v>128.582784</v>
      </c>
      <c r="BP73" s="4">
        <f t="shared" si="66"/>
        <v>58.325150822400005</v>
      </c>
      <c r="BQ73" s="4">
        <f t="shared" si="226"/>
        <v>642.91391999999996</v>
      </c>
      <c r="BR73" s="4">
        <f t="shared" si="227"/>
        <v>291.62575411199998</v>
      </c>
      <c r="BS73" s="4">
        <f t="shared" si="228"/>
        <v>128.582784</v>
      </c>
      <c r="BT73" s="4">
        <f t="shared" si="229"/>
        <v>58.325150822400005</v>
      </c>
      <c r="BU73" s="76">
        <f t="shared" si="230"/>
        <v>0</v>
      </c>
      <c r="BV73" s="116" t="s">
        <v>77</v>
      </c>
      <c r="BW73" s="88" t="s">
        <v>77</v>
      </c>
      <c r="BX73" s="88" t="s">
        <v>77</v>
      </c>
      <c r="BY73" s="89" t="s">
        <v>77</v>
      </c>
      <c r="BZ73" s="88" t="s">
        <v>77</v>
      </c>
      <c r="CA73" s="88" t="s">
        <v>77</v>
      </c>
      <c r="CB73" s="89" t="s">
        <v>77</v>
      </c>
      <c r="CC73" s="88" t="s">
        <v>77</v>
      </c>
      <c r="CD73" s="88" t="s">
        <v>77</v>
      </c>
      <c r="CE73" s="89" t="s">
        <v>77</v>
      </c>
      <c r="CF73" s="88" t="s">
        <v>77</v>
      </c>
      <c r="CG73" s="88" t="s">
        <v>77</v>
      </c>
      <c r="CH73" s="89" t="s">
        <v>77</v>
      </c>
      <c r="CI73" s="41">
        <f t="shared" si="231"/>
        <v>220.69255267627582</v>
      </c>
      <c r="CJ73" s="41">
        <f t="shared" si="232"/>
        <v>340.49708127196845</v>
      </c>
      <c r="CK73" s="41">
        <f t="shared" si="233"/>
        <v>1103.4627633813793</v>
      </c>
      <c r="CL73" s="41">
        <f t="shared" si="234"/>
        <v>1702.4854063598423</v>
      </c>
      <c r="CM73" s="88" t="s">
        <v>77</v>
      </c>
      <c r="CN73" s="88" t="s">
        <v>77</v>
      </c>
      <c r="CO73" s="89" t="s">
        <v>77</v>
      </c>
      <c r="CP73" s="88" t="s">
        <v>77</v>
      </c>
      <c r="CQ73" s="88" t="s">
        <v>77</v>
      </c>
      <c r="CR73" s="89" t="s">
        <v>77</v>
      </c>
      <c r="CS73" s="88" t="s">
        <v>77</v>
      </c>
      <c r="CT73" s="88" t="s">
        <v>77</v>
      </c>
      <c r="CU73" s="89" t="s">
        <v>77</v>
      </c>
      <c r="CV73" s="88" t="s">
        <v>77</v>
      </c>
      <c r="CW73" s="88" t="s">
        <v>77</v>
      </c>
      <c r="CX73" s="89" t="s">
        <v>77</v>
      </c>
      <c r="CY73" s="299" t="s">
        <v>323</v>
      </c>
      <c r="CZ73" s="298" t="s">
        <v>57</v>
      </c>
      <c r="DA73" s="298" t="s">
        <v>57</v>
      </c>
      <c r="DB73" s="298" t="s">
        <v>77</v>
      </c>
      <c r="DC73" s="298" t="s">
        <v>57</v>
      </c>
      <c r="DD73" s="65"/>
      <c r="DE73" s="65"/>
      <c r="DF73" s="298"/>
      <c r="DG73" s="298"/>
      <c r="DH73" s="298"/>
      <c r="DI73" s="298"/>
      <c r="DJ73" s="279"/>
      <c r="DK73" s="279"/>
      <c r="DL73" s="280"/>
      <c r="DM73" s="279"/>
      <c r="DN73" s="279"/>
      <c r="DO73" s="65" t="s">
        <v>201</v>
      </c>
      <c r="DP73" s="65"/>
      <c r="DQ73" s="117"/>
      <c r="DR73" s="29"/>
      <c r="DS73" s="29"/>
      <c r="DT73" s="29"/>
      <c r="DU73" s="29"/>
      <c r="DV73" s="29"/>
      <c r="DW73" s="29"/>
      <c r="DX73" s="29"/>
      <c r="DY73" s="29"/>
    </row>
    <row r="74" spans="1:129" ht="76.5" hidden="1" customHeight="1" x14ac:dyDescent="0.2">
      <c r="A74" s="507"/>
      <c r="B74" s="520"/>
      <c r="C74" s="291"/>
      <c r="D74" s="291"/>
      <c r="E74" s="65" t="s">
        <v>202</v>
      </c>
      <c r="F74" s="280" t="s">
        <v>105</v>
      </c>
      <c r="G74" s="280" t="s">
        <v>106</v>
      </c>
      <c r="H74" s="298" t="s">
        <v>12</v>
      </c>
      <c r="I74" s="285" t="s">
        <v>601</v>
      </c>
      <c r="J74" s="65"/>
      <c r="K74" s="298"/>
      <c r="L74" s="280" t="s">
        <v>11</v>
      </c>
      <c r="M74" s="321">
        <v>330</v>
      </c>
      <c r="N74" s="11" t="s">
        <v>77</v>
      </c>
      <c r="O74" s="317"/>
      <c r="P74" s="316">
        <f t="shared" si="212"/>
        <v>2.0625</v>
      </c>
      <c r="Q74" s="103">
        <f t="shared" si="213"/>
        <v>40</v>
      </c>
      <c r="R74" s="103">
        <f t="shared" si="214"/>
        <v>8</v>
      </c>
      <c r="S74" s="4">
        <v>90</v>
      </c>
      <c r="T74" s="4">
        <v>95</v>
      </c>
      <c r="U74" s="4">
        <v>90</v>
      </c>
      <c r="V74" s="4">
        <v>95</v>
      </c>
      <c r="W74" s="51"/>
      <c r="X74" s="51"/>
      <c r="Y74" s="4">
        <f t="shared" si="215"/>
        <v>36.163907999999999</v>
      </c>
      <c r="Z74" s="4">
        <f t="shared" si="216"/>
        <v>38.173014000000002</v>
      </c>
      <c r="AA74" s="101">
        <f t="shared" si="217"/>
        <v>16.403948668799998</v>
      </c>
      <c r="AB74" s="101">
        <f t="shared" si="87"/>
        <v>17.315279150400002</v>
      </c>
      <c r="AC74" s="101">
        <f t="shared" si="88"/>
        <v>16.8596139096</v>
      </c>
      <c r="AD74" s="4">
        <f t="shared" si="218"/>
        <v>7.2327815999999991</v>
      </c>
      <c r="AE74" s="4">
        <f t="shared" si="219"/>
        <v>7.6346027999999988</v>
      </c>
      <c r="AF74" s="4">
        <f t="shared" si="89"/>
        <v>3.2807897337599998</v>
      </c>
      <c r="AG74" s="4">
        <f t="shared" si="90"/>
        <v>3.4630558300799996</v>
      </c>
      <c r="AH74" s="76">
        <v>0</v>
      </c>
      <c r="AI74" s="76">
        <v>0</v>
      </c>
      <c r="AJ74" s="76">
        <f t="shared" si="188"/>
        <v>0</v>
      </c>
      <c r="AK74" s="76">
        <f t="shared" ref="AK74:AK89" si="235">AH74*($AA$99/$AA$97)</f>
        <v>0</v>
      </c>
      <c r="AL74" s="76">
        <f t="shared" ref="AL74:AL89" si="236">AI74*($AA$99/$AA$97)</f>
        <v>0</v>
      </c>
      <c r="AM74" s="76">
        <f t="shared" ref="AM74:AM89" si="237">AJ74*($AA$99/$AA$97)</f>
        <v>0</v>
      </c>
      <c r="AN74" s="108">
        <v>0.33</v>
      </c>
      <c r="AO74" s="108"/>
      <c r="AP74" s="76">
        <f t="shared" si="221"/>
        <v>0</v>
      </c>
      <c r="AQ74" s="76">
        <f t="shared" si="221"/>
        <v>0</v>
      </c>
      <c r="AR74" s="76">
        <f t="shared" si="60"/>
        <v>0</v>
      </c>
      <c r="AS74" s="76">
        <v>0</v>
      </c>
      <c r="AT74" s="76">
        <v>0</v>
      </c>
      <c r="AU74" s="76">
        <f t="shared" si="193"/>
        <v>0</v>
      </c>
      <c r="AV74" s="76">
        <f t="shared" ref="AV74:AV89" si="238">AS74*($AA$99/$AA$97)</f>
        <v>0</v>
      </c>
      <c r="AW74" s="76">
        <f t="shared" ref="AW74:AW89" si="239">AT74*($AA$99/$AA$97)</f>
        <v>0</v>
      </c>
      <c r="AX74" s="76">
        <f t="shared" ref="AX74:AX89" si="240">AU74*($AA$99/$AA$97)</f>
        <v>0</v>
      </c>
      <c r="AY74" s="51">
        <v>0</v>
      </c>
      <c r="AZ74" s="51">
        <v>0</v>
      </c>
      <c r="BA74" s="51">
        <v>0</v>
      </c>
      <c r="BB74" s="338"/>
      <c r="BC74" s="76">
        <f t="shared" si="202"/>
        <v>0</v>
      </c>
      <c r="BD74" s="76">
        <f t="shared" si="203"/>
        <v>0</v>
      </c>
      <c r="BE74" s="76">
        <f t="shared" si="48"/>
        <v>0</v>
      </c>
      <c r="BF74" s="76">
        <f t="shared" si="198"/>
        <v>0</v>
      </c>
      <c r="BG74" s="76">
        <f t="shared" si="199"/>
        <v>0</v>
      </c>
      <c r="BH74" s="76">
        <f t="shared" si="199"/>
        <v>0</v>
      </c>
      <c r="BI74" s="4">
        <v>0</v>
      </c>
      <c r="BJ74" s="76">
        <v>0</v>
      </c>
      <c r="BK74" s="76" t="e">
        <f t="shared" ref="BK74:BK89" si="241">IF(($CB$2/BI74)&gt;0,((($CB$2/BI74))*BJ74),0)</f>
        <v>#DIV/0!</v>
      </c>
      <c r="BL74" s="116" t="e">
        <f t="shared" si="223"/>
        <v>#DIV/0!</v>
      </c>
      <c r="BM74" s="4">
        <f t="shared" si="224"/>
        <v>743.36922000000004</v>
      </c>
      <c r="BN74" s="4">
        <f t="shared" si="65"/>
        <v>337.192278192</v>
      </c>
      <c r="BO74" s="4">
        <f t="shared" si="225"/>
        <v>148.67384399999997</v>
      </c>
      <c r="BP74" s="4">
        <f t="shared" si="66"/>
        <v>67.438455638399986</v>
      </c>
      <c r="BQ74" s="4">
        <f t="shared" si="226"/>
        <v>743.36922000000004</v>
      </c>
      <c r="BR74" s="4">
        <f t="shared" si="227"/>
        <v>337.192278192</v>
      </c>
      <c r="BS74" s="4">
        <f t="shared" si="228"/>
        <v>148.67384399999997</v>
      </c>
      <c r="BT74" s="4">
        <f t="shared" si="229"/>
        <v>67.438455638399986</v>
      </c>
      <c r="BU74" s="76">
        <f t="shared" si="230"/>
        <v>0</v>
      </c>
      <c r="BV74" s="116" t="s">
        <v>77</v>
      </c>
      <c r="BW74" s="88" t="s">
        <v>77</v>
      </c>
      <c r="BX74" s="88" t="s">
        <v>77</v>
      </c>
      <c r="BY74" s="89" t="s">
        <v>77</v>
      </c>
      <c r="BZ74" s="88" t="s">
        <v>77</v>
      </c>
      <c r="CA74" s="88" t="s">
        <v>77</v>
      </c>
      <c r="CB74" s="89" t="s">
        <v>77</v>
      </c>
      <c r="CC74" s="88" t="s">
        <v>77</v>
      </c>
      <c r="CD74" s="88" t="s">
        <v>77</v>
      </c>
      <c r="CE74" s="89" t="s">
        <v>77</v>
      </c>
      <c r="CF74" s="88" t="s">
        <v>77</v>
      </c>
      <c r="CG74" s="88" t="s">
        <v>77</v>
      </c>
      <c r="CH74" s="89" t="s">
        <v>77</v>
      </c>
      <c r="CI74" s="41">
        <f t="shared" si="231"/>
        <v>0</v>
      </c>
      <c r="CJ74" s="41">
        <f t="shared" si="232"/>
        <v>0</v>
      </c>
      <c r="CK74" s="41">
        <f t="shared" si="233"/>
        <v>0</v>
      </c>
      <c r="CL74" s="41">
        <f t="shared" si="234"/>
        <v>0</v>
      </c>
      <c r="CM74" s="88" t="s">
        <v>77</v>
      </c>
      <c r="CN74" s="88" t="s">
        <v>77</v>
      </c>
      <c r="CO74" s="89" t="s">
        <v>77</v>
      </c>
      <c r="CP74" s="88" t="s">
        <v>77</v>
      </c>
      <c r="CQ74" s="88" t="s">
        <v>77</v>
      </c>
      <c r="CR74" s="89" t="s">
        <v>77</v>
      </c>
      <c r="CS74" s="88" t="s">
        <v>77</v>
      </c>
      <c r="CT74" s="88" t="s">
        <v>77</v>
      </c>
      <c r="CU74" s="89" t="s">
        <v>77</v>
      </c>
      <c r="CV74" s="88" t="s">
        <v>77</v>
      </c>
      <c r="CW74" s="88" t="s">
        <v>77</v>
      </c>
      <c r="CX74" s="89" t="s">
        <v>77</v>
      </c>
      <c r="CY74" s="299" t="s">
        <v>323</v>
      </c>
      <c r="CZ74" s="298" t="s">
        <v>57</v>
      </c>
      <c r="DA74" s="298" t="s">
        <v>57</v>
      </c>
      <c r="DB74" s="298" t="s">
        <v>77</v>
      </c>
      <c r="DC74" s="298" t="s">
        <v>57</v>
      </c>
      <c r="DD74" s="65"/>
      <c r="DE74" s="65"/>
      <c r="DF74" s="298"/>
      <c r="DG74" s="298"/>
      <c r="DH74" s="298"/>
      <c r="DI74" s="298"/>
      <c r="DJ74" s="279"/>
      <c r="DK74" s="279"/>
      <c r="DL74" s="280"/>
      <c r="DM74" s="279"/>
      <c r="DN74" s="279"/>
      <c r="DO74" s="65" t="s">
        <v>203</v>
      </c>
      <c r="DP74" s="65"/>
      <c r="DQ74" s="117"/>
      <c r="DR74" s="29"/>
      <c r="DS74" s="29"/>
      <c r="DT74" s="29"/>
      <c r="DU74" s="29"/>
      <c r="DV74" s="29"/>
      <c r="DW74" s="29"/>
      <c r="DX74" s="29"/>
      <c r="DY74" s="29"/>
    </row>
    <row r="75" spans="1:129" ht="81.75" hidden="1" customHeight="1" x14ac:dyDescent="0.2">
      <c r="A75" s="507"/>
      <c r="B75" s="520"/>
      <c r="C75" s="291"/>
      <c r="D75" s="291"/>
      <c r="E75" s="65" t="s">
        <v>204</v>
      </c>
      <c r="F75" s="280" t="s">
        <v>105</v>
      </c>
      <c r="G75" s="280" t="s">
        <v>106</v>
      </c>
      <c r="H75" s="298" t="s">
        <v>12</v>
      </c>
      <c r="I75" s="285" t="s">
        <v>601</v>
      </c>
      <c r="J75" s="65"/>
      <c r="K75" s="298"/>
      <c r="L75" s="280" t="s">
        <v>11</v>
      </c>
      <c r="M75" s="321">
        <v>330</v>
      </c>
      <c r="N75" s="11" t="s">
        <v>77</v>
      </c>
      <c r="O75" s="317"/>
      <c r="P75" s="316">
        <f t="shared" si="212"/>
        <v>2.0625</v>
      </c>
      <c r="Q75" s="103">
        <f t="shared" si="213"/>
        <v>40</v>
      </c>
      <c r="R75" s="103">
        <f t="shared" si="214"/>
        <v>8</v>
      </c>
      <c r="S75" s="4">
        <v>70</v>
      </c>
      <c r="T75" s="4">
        <v>80</v>
      </c>
      <c r="U75" s="4">
        <v>70</v>
      </c>
      <c r="V75" s="4">
        <v>80</v>
      </c>
      <c r="W75" s="51"/>
      <c r="X75" s="51"/>
      <c r="Y75" s="4">
        <f t="shared" si="215"/>
        <v>28.127483999999999</v>
      </c>
      <c r="Z75" s="4">
        <f t="shared" si="216"/>
        <v>32.145696000000001</v>
      </c>
      <c r="AA75" s="101">
        <f t="shared" si="217"/>
        <v>12.758626742399999</v>
      </c>
      <c r="AB75" s="101">
        <f t="shared" si="87"/>
        <v>14.581287705600001</v>
      </c>
      <c r="AC75" s="101">
        <f t="shared" ref="AC75:AC80" si="242">(AA75+AB75)/2</f>
        <v>13.669957224000001</v>
      </c>
      <c r="AD75" s="4">
        <f t="shared" si="218"/>
        <v>5.6254967999999996</v>
      </c>
      <c r="AE75" s="4">
        <f t="shared" si="219"/>
        <v>6.4291391999999998</v>
      </c>
      <c r="AF75" s="4">
        <f t="shared" si="89"/>
        <v>2.5517253484799998</v>
      </c>
      <c r="AG75" s="4">
        <f t="shared" si="90"/>
        <v>2.9162575411199998</v>
      </c>
      <c r="AH75" s="76">
        <v>0</v>
      </c>
      <c r="AI75" s="76">
        <v>0</v>
      </c>
      <c r="AJ75" s="76">
        <f t="shared" si="188"/>
        <v>0</v>
      </c>
      <c r="AK75" s="76">
        <f t="shared" si="235"/>
        <v>0</v>
      </c>
      <c r="AL75" s="76">
        <f t="shared" si="236"/>
        <v>0</v>
      </c>
      <c r="AM75" s="76">
        <f t="shared" si="237"/>
        <v>0</v>
      </c>
      <c r="AN75" s="108" t="s">
        <v>295</v>
      </c>
      <c r="AO75" s="108"/>
      <c r="AP75" s="76">
        <f t="shared" si="221"/>
        <v>0</v>
      </c>
      <c r="AQ75" s="76">
        <f t="shared" si="221"/>
        <v>0</v>
      </c>
      <c r="AR75" s="76">
        <f t="shared" si="60"/>
        <v>0</v>
      </c>
      <c r="AS75" s="76">
        <v>0</v>
      </c>
      <c r="AT75" s="76">
        <v>0</v>
      </c>
      <c r="AU75" s="76">
        <f t="shared" si="193"/>
        <v>0</v>
      </c>
      <c r="AV75" s="76">
        <f t="shared" si="238"/>
        <v>0</v>
      </c>
      <c r="AW75" s="76">
        <f t="shared" si="239"/>
        <v>0</v>
      </c>
      <c r="AX75" s="76">
        <f t="shared" si="240"/>
        <v>0</v>
      </c>
      <c r="AY75" s="51">
        <v>0</v>
      </c>
      <c r="AZ75" s="51">
        <v>0</v>
      </c>
      <c r="BA75" s="51">
        <v>0</v>
      </c>
      <c r="BB75" s="338"/>
      <c r="BC75" s="76">
        <f t="shared" si="202"/>
        <v>0</v>
      </c>
      <c r="BD75" s="76">
        <f t="shared" si="203"/>
        <v>0</v>
      </c>
      <c r="BE75" s="76">
        <f t="shared" ref="BE75:BE89" si="243">AR75*(1+$AZ75)</f>
        <v>0</v>
      </c>
      <c r="BF75" s="76">
        <f t="shared" si="198"/>
        <v>0</v>
      </c>
      <c r="BG75" s="76">
        <f t="shared" si="199"/>
        <v>0</v>
      </c>
      <c r="BH75" s="76">
        <f t="shared" si="199"/>
        <v>0</v>
      </c>
      <c r="BI75" s="4">
        <v>0</v>
      </c>
      <c r="BJ75" s="76">
        <v>0</v>
      </c>
      <c r="BK75" s="76" t="e">
        <f t="shared" si="241"/>
        <v>#DIV/0!</v>
      </c>
      <c r="BL75" s="116" t="e">
        <f t="shared" si="223"/>
        <v>#DIV/0!</v>
      </c>
      <c r="BM75" s="4">
        <f t="shared" si="224"/>
        <v>602.73180000000002</v>
      </c>
      <c r="BN75" s="4">
        <f t="shared" si="65"/>
        <v>273.39914448000002</v>
      </c>
      <c r="BO75" s="4">
        <f t="shared" si="225"/>
        <v>120.54635999999999</v>
      </c>
      <c r="BP75" s="4">
        <f t="shared" si="66"/>
        <v>54.679828895999997</v>
      </c>
      <c r="BQ75" s="4">
        <f t="shared" si="226"/>
        <v>602.73180000000002</v>
      </c>
      <c r="BR75" s="4">
        <f t="shared" si="227"/>
        <v>273.39914448000002</v>
      </c>
      <c r="BS75" s="4">
        <f t="shared" si="228"/>
        <v>120.54635999999999</v>
      </c>
      <c r="BT75" s="4">
        <f t="shared" si="229"/>
        <v>54.679828895999997</v>
      </c>
      <c r="BU75" s="76">
        <f t="shared" si="230"/>
        <v>0</v>
      </c>
      <c r="BV75" s="116" t="s">
        <v>77</v>
      </c>
      <c r="BW75" s="88" t="s">
        <v>77</v>
      </c>
      <c r="BX75" s="88" t="s">
        <v>77</v>
      </c>
      <c r="BY75" s="89" t="s">
        <v>77</v>
      </c>
      <c r="BZ75" s="88" t="s">
        <v>77</v>
      </c>
      <c r="CA75" s="88" t="s">
        <v>77</v>
      </c>
      <c r="CB75" s="89" t="s">
        <v>77</v>
      </c>
      <c r="CC75" s="88" t="s">
        <v>77</v>
      </c>
      <c r="CD75" s="88" t="s">
        <v>77</v>
      </c>
      <c r="CE75" s="89" t="s">
        <v>77</v>
      </c>
      <c r="CF75" s="88" t="s">
        <v>77</v>
      </c>
      <c r="CG75" s="88" t="s">
        <v>77</v>
      </c>
      <c r="CH75" s="89" t="s">
        <v>77</v>
      </c>
      <c r="CI75" s="41">
        <f t="shared" si="231"/>
        <v>0</v>
      </c>
      <c r="CJ75" s="41">
        <f t="shared" si="232"/>
        <v>0</v>
      </c>
      <c r="CK75" s="41">
        <f t="shared" si="233"/>
        <v>0</v>
      </c>
      <c r="CL75" s="41">
        <f t="shared" si="234"/>
        <v>0</v>
      </c>
      <c r="CM75" s="88" t="s">
        <v>77</v>
      </c>
      <c r="CN75" s="88" t="s">
        <v>77</v>
      </c>
      <c r="CO75" s="89" t="s">
        <v>77</v>
      </c>
      <c r="CP75" s="88" t="s">
        <v>77</v>
      </c>
      <c r="CQ75" s="88" t="s">
        <v>77</v>
      </c>
      <c r="CR75" s="89" t="s">
        <v>77</v>
      </c>
      <c r="CS75" s="88" t="s">
        <v>77</v>
      </c>
      <c r="CT75" s="88" t="s">
        <v>77</v>
      </c>
      <c r="CU75" s="89" t="s">
        <v>77</v>
      </c>
      <c r="CV75" s="88" t="s">
        <v>77</v>
      </c>
      <c r="CW75" s="88" t="s">
        <v>77</v>
      </c>
      <c r="CX75" s="89" t="s">
        <v>77</v>
      </c>
      <c r="CY75" s="299" t="s">
        <v>323</v>
      </c>
      <c r="CZ75" s="298" t="s">
        <v>57</v>
      </c>
      <c r="DA75" s="298" t="s">
        <v>57</v>
      </c>
      <c r="DB75" s="298" t="s">
        <v>77</v>
      </c>
      <c r="DC75" s="298" t="s">
        <v>57</v>
      </c>
      <c r="DD75" s="65"/>
      <c r="DE75" s="65"/>
      <c r="DF75" s="298"/>
      <c r="DG75" s="298"/>
      <c r="DH75" s="298"/>
      <c r="DI75" s="298"/>
      <c r="DJ75" s="279"/>
      <c r="DK75" s="279"/>
      <c r="DL75" s="280"/>
      <c r="DM75" s="279"/>
      <c r="DN75" s="279"/>
      <c r="DO75" s="65" t="s">
        <v>205</v>
      </c>
      <c r="DP75" s="65" t="s">
        <v>206</v>
      </c>
      <c r="DQ75" s="117"/>
      <c r="DR75" s="29"/>
      <c r="DS75" s="29"/>
      <c r="DT75" s="29"/>
      <c r="DU75" s="29"/>
      <c r="DV75" s="29"/>
      <c r="DW75" s="29"/>
      <c r="DX75" s="29"/>
      <c r="DY75" s="29"/>
    </row>
    <row r="76" spans="1:129" ht="153" hidden="1" customHeight="1" x14ac:dyDescent="0.2">
      <c r="A76" s="507"/>
      <c r="B76" s="66" t="s">
        <v>207</v>
      </c>
      <c r="C76" s="66"/>
      <c r="D76" s="291"/>
      <c r="E76" s="65" t="s">
        <v>208</v>
      </c>
      <c r="F76" s="280" t="s">
        <v>105</v>
      </c>
      <c r="G76" s="280" t="s">
        <v>106</v>
      </c>
      <c r="H76" s="298" t="s">
        <v>12</v>
      </c>
      <c r="I76" s="285" t="s">
        <v>601</v>
      </c>
      <c r="J76" s="65"/>
      <c r="K76" s="298"/>
      <c r="L76" s="280" t="s">
        <v>11</v>
      </c>
      <c r="M76" s="321">
        <v>330</v>
      </c>
      <c r="N76" s="11" t="s">
        <v>77</v>
      </c>
      <c r="O76" s="317"/>
      <c r="P76" s="316">
        <f t="shared" si="212"/>
        <v>2.0625</v>
      </c>
      <c r="Q76" s="103">
        <f t="shared" si="213"/>
        <v>40</v>
      </c>
      <c r="R76" s="103">
        <f t="shared" si="214"/>
        <v>8</v>
      </c>
      <c r="S76" s="4">
        <v>30</v>
      </c>
      <c r="T76" s="4">
        <v>80</v>
      </c>
      <c r="U76" s="4">
        <v>70</v>
      </c>
      <c r="V76" s="4">
        <v>95</v>
      </c>
      <c r="W76" s="51"/>
      <c r="X76" s="51"/>
      <c r="Y76" s="4">
        <f t="shared" si="215"/>
        <v>12.054635999999999</v>
      </c>
      <c r="Z76" s="4">
        <f t="shared" si="216"/>
        <v>32.145696000000001</v>
      </c>
      <c r="AA76" s="101">
        <f t="shared" si="217"/>
        <v>5.4679828895999991</v>
      </c>
      <c r="AB76" s="101">
        <f t="shared" si="87"/>
        <v>14.581287705600001</v>
      </c>
      <c r="AC76" s="101">
        <f t="shared" si="242"/>
        <v>10.0246352976</v>
      </c>
      <c r="AD76" s="4">
        <f t="shared" si="218"/>
        <v>5.6254967999999996</v>
      </c>
      <c r="AE76" s="4">
        <f t="shared" si="219"/>
        <v>7.6346027999999988</v>
      </c>
      <c r="AF76" s="4">
        <f t="shared" si="89"/>
        <v>2.5517253484799998</v>
      </c>
      <c r="AG76" s="4">
        <f t="shared" si="90"/>
        <v>3.4630558300799996</v>
      </c>
      <c r="AH76" s="76">
        <v>0</v>
      </c>
      <c r="AI76" s="76">
        <v>0</v>
      </c>
      <c r="AJ76" s="76">
        <f t="shared" si="188"/>
        <v>0</v>
      </c>
      <c r="AK76" s="76">
        <f t="shared" si="235"/>
        <v>0</v>
      </c>
      <c r="AL76" s="76">
        <f t="shared" si="236"/>
        <v>0</v>
      </c>
      <c r="AM76" s="76">
        <f t="shared" si="237"/>
        <v>0</v>
      </c>
      <c r="AN76" s="108">
        <v>0.4</v>
      </c>
      <c r="AO76" s="108"/>
      <c r="AP76" s="76">
        <f t="shared" si="221"/>
        <v>0</v>
      </c>
      <c r="AQ76" s="76">
        <f t="shared" si="221"/>
        <v>0</v>
      </c>
      <c r="AR76" s="76">
        <f t="shared" si="60"/>
        <v>0</v>
      </c>
      <c r="AS76" s="76">
        <v>0</v>
      </c>
      <c r="AT76" s="76">
        <v>0</v>
      </c>
      <c r="AU76" s="76">
        <f t="shared" si="193"/>
        <v>0</v>
      </c>
      <c r="AV76" s="76">
        <f t="shared" si="238"/>
        <v>0</v>
      </c>
      <c r="AW76" s="76">
        <f t="shared" si="239"/>
        <v>0</v>
      </c>
      <c r="AX76" s="76">
        <f t="shared" si="240"/>
        <v>0</v>
      </c>
      <c r="AY76" s="51">
        <v>0</v>
      </c>
      <c r="AZ76" s="51">
        <v>0</v>
      </c>
      <c r="BA76" s="51">
        <v>0</v>
      </c>
      <c r="BB76" s="338"/>
      <c r="BC76" s="76">
        <f t="shared" si="202"/>
        <v>0</v>
      </c>
      <c r="BD76" s="76">
        <f t="shared" si="203"/>
        <v>0</v>
      </c>
      <c r="BE76" s="76">
        <f t="shared" si="243"/>
        <v>0</v>
      </c>
      <c r="BF76" s="76">
        <f t="shared" si="198"/>
        <v>0</v>
      </c>
      <c r="BG76" s="76">
        <f t="shared" si="199"/>
        <v>0</v>
      </c>
      <c r="BH76" s="76">
        <f t="shared" si="199"/>
        <v>0</v>
      </c>
      <c r="BI76" s="4">
        <v>0</v>
      </c>
      <c r="BJ76" s="76">
        <v>0</v>
      </c>
      <c r="BK76" s="76" t="e">
        <f t="shared" si="241"/>
        <v>#DIV/0!</v>
      </c>
      <c r="BL76" s="116" t="e">
        <f t="shared" si="223"/>
        <v>#DIV/0!</v>
      </c>
      <c r="BM76" s="4">
        <f t="shared" si="224"/>
        <v>442.00332000000003</v>
      </c>
      <c r="BN76" s="4">
        <f t="shared" si="65"/>
        <v>200.49270595200002</v>
      </c>
      <c r="BO76" s="4">
        <f t="shared" si="225"/>
        <v>132.60099599999998</v>
      </c>
      <c r="BP76" s="4">
        <f t="shared" si="66"/>
        <v>60.147811785599991</v>
      </c>
      <c r="BQ76" s="4">
        <f t="shared" si="226"/>
        <v>442.00332000000003</v>
      </c>
      <c r="BR76" s="4">
        <f t="shared" si="227"/>
        <v>200.49270595200002</v>
      </c>
      <c r="BS76" s="4">
        <f t="shared" si="228"/>
        <v>132.60099599999998</v>
      </c>
      <c r="BT76" s="4">
        <f t="shared" si="229"/>
        <v>60.147811785599991</v>
      </c>
      <c r="BU76" s="76">
        <f t="shared" si="230"/>
        <v>0</v>
      </c>
      <c r="BV76" s="116" t="s">
        <v>77</v>
      </c>
      <c r="BW76" s="88" t="s">
        <v>77</v>
      </c>
      <c r="BX76" s="88" t="s">
        <v>77</v>
      </c>
      <c r="BY76" s="89" t="s">
        <v>77</v>
      </c>
      <c r="BZ76" s="88" t="s">
        <v>77</v>
      </c>
      <c r="CA76" s="88" t="s">
        <v>77</v>
      </c>
      <c r="CB76" s="89" t="s">
        <v>77</v>
      </c>
      <c r="CC76" s="88" t="s">
        <v>77</v>
      </c>
      <c r="CD76" s="88" t="s">
        <v>77</v>
      </c>
      <c r="CE76" s="89" t="s">
        <v>77</v>
      </c>
      <c r="CF76" s="88" t="s">
        <v>77</v>
      </c>
      <c r="CG76" s="88" t="s">
        <v>77</v>
      </c>
      <c r="CH76" s="89" t="s">
        <v>77</v>
      </c>
      <c r="CI76" s="41">
        <f t="shared" si="231"/>
        <v>0</v>
      </c>
      <c r="CJ76" s="41">
        <f t="shared" si="232"/>
        <v>0</v>
      </c>
      <c r="CK76" s="41">
        <f t="shared" si="233"/>
        <v>0</v>
      </c>
      <c r="CL76" s="41">
        <f t="shared" si="234"/>
        <v>0</v>
      </c>
      <c r="CM76" s="88" t="s">
        <v>77</v>
      </c>
      <c r="CN76" s="88" t="s">
        <v>77</v>
      </c>
      <c r="CO76" s="89" t="s">
        <v>77</v>
      </c>
      <c r="CP76" s="88" t="s">
        <v>77</v>
      </c>
      <c r="CQ76" s="88" t="s">
        <v>77</v>
      </c>
      <c r="CR76" s="89" t="s">
        <v>77</v>
      </c>
      <c r="CS76" s="88" t="s">
        <v>77</v>
      </c>
      <c r="CT76" s="88" t="s">
        <v>77</v>
      </c>
      <c r="CU76" s="89" t="s">
        <v>77</v>
      </c>
      <c r="CV76" s="88" t="s">
        <v>77</v>
      </c>
      <c r="CW76" s="88" t="s">
        <v>77</v>
      </c>
      <c r="CX76" s="89" t="s">
        <v>77</v>
      </c>
      <c r="CY76" s="299" t="s">
        <v>320</v>
      </c>
      <c r="CZ76" s="298" t="s">
        <v>56</v>
      </c>
      <c r="DA76" s="298" t="s">
        <v>57</v>
      </c>
      <c r="DB76" s="298" t="s">
        <v>77</v>
      </c>
      <c r="DC76" s="298" t="s">
        <v>57</v>
      </c>
      <c r="DD76" s="65"/>
      <c r="DE76" s="65"/>
      <c r="DF76" s="298"/>
      <c r="DG76" s="298"/>
      <c r="DH76" s="298"/>
      <c r="DI76" s="298"/>
      <c r="DJ76" s="279"/>
      <c r="DK76" s="279"/>
      <c r="DL76" s="280"/>
      <c r="DM76" s="279"/>
      <c r="DN76" s="279"/>
      <c r="DO76" s="65" t="s">
        <v>209</v>
      </c>
      <c r="DP76" s="65" t="s">
        <v>210</v>
      </c>
      <c r="DQ76" s="117"/>
      <c r="DR76" s="29"/>
      <c r="DS76" s="29"/>
      <c r="DT76" s="29"/>
      <c r="DU76" s="29"/>
      <c r="DV76" s="29"/>
      <c r="DW76" s="29"/>
      <c r="DX76" s="29"/>
      <c r="DY76" s="29"/>
    </row>
    <row r="77" spans="1:129" ht="216.75" hidden="1" customHeight="1" x14ac:dyDescent="0.2">
      <c r="A77" s="507"/>
      <c r="B77" s="67" t="s">
        <v>211</v>
      </c>
      <c r="C77" s="67"/>
      <c r="D77" s="291"/>
      <c r="E77" s="65" t="s">
        <v>212</v>
      </c>
      <c r="F77" s="298" t="s">
        <v>213</v>
      </c>
      <c r="G77" s="298" t="s">
        <v>214</v>
      </c>
      <c r="H77" s="298" t="s">
        <v>219</v>
      </c>
      <c r="I77" s="285" t="s">
        <v>601</v>
      </c>
      <c r="J77" s="65"/>
      <c r="K77" s="298"/>
      <c r="L77" s="280" t="s">
        <v>11</v>
      </c>
      <c r="M77" s="321">
        <v>330</v>
      </c>
      <c r="N77" s="11" t="s">
        <v>77</v>
      </c>
      <c r="O77" s="317"/>
      <c r="P77" s="316">
        <f t="shared" si="212"/>
        <v>2.0625</v>
      </c>
      <c r="Q77" s="103">
        <f t="shared" si="213"/>
        <v>40</v>
      </c>
      <c r="R77" s="103">
        <f t="shared" si="214"/>
        <v>8</v>
      </c>
      <c r="S77" s="4">
        <v>0</v>
      </c>
      <c r="T77" s="4">
        <v>0</v>
      </c>
      <c r="U77" s="4">
        <v>0</v>
      </c>
      <c r="V77" s="4">
        <v>0</v>
      </c>
      <c r="W77" s="51"/>
      <c r="X77" s="51"/>
      <c r="Y77" s="4">
        <f t="shared" si="215"/>
        <v>0</v>
      </c>
      <c r="Z77" s="4">
        <f t="shared" si="216"/>
        <v>0</v>
      </c>
      <c r="AA77" s="101">
        <f t="shared" si="217"/>
        <v>0</v>
      </c>
      <c r="AB77" s="101">
        <f t="shared" ref="AB77:AB79" si="244">Z77*0.4536</f>
        <v>0</v>
      </c>
      <c r="AC77" s="101">
        <f t="shared" si="242"/>
        <v>0</v>
      </c>
      <c r="AD77" s="4">
        <f t="shared" si="218"/>
        <v>0</v>
      </c>
      <c r="AE77" s="4">
        <f t="shared" si="219"/>
        <v>0</v>
      </c>
      <c r="AF77" s="4">
        <f t="shared" ref="AF77:AF79" si="245">AD77*0.4536</f>
        <v>0</v>
      </c>
      <c r="AG77" s="4">
        <f t="shared" ref="AG77:AG79" si="246">AE77*0.4536</f>
        <v>0</v>
      </c>
      <c r="AH77" s="76">
        <v>0</v>
      </c>
      <c r="AI77" s="76">
        <v>0</v>
      </c>
      <c r="AJ77" s="76">
        <f t="shared" si="188"/>
        <v>0</v>
      </c>
      <c r="AK77" s="76">
        <f t="shared" si="235"/>
        <v>0</v>
      </c>
      <c r="AL77" s="76">
        <f t="shared" si="236"/>
        <v>0</v>
      </c>
      <c r="AM77" s="76">
        <f t="shared" si="237"/>
        <v>0</v>
      </c>
      <c r="AN77" s="108">
        <v>0.4</v>
      </c>
      <c r="AO77" s="108"/>
      <c r="AP77" s="76">
        <f t="shared" si="221"/>
        <v>0</v>
      </c>
      <c r="AQ77" s="76">
        <f t="shared" si="221"/>
        <v>0</v>
      </c>
      <c r="AR77" s="76">
        <f t="shared" si="60"/>
        <v>0</v>
      </c>
      <c r="AS77" s="76">
        <v>0</v>
      </c>
      <c r="AT77" s="76">
        <v>0</v>
      </c>
      <c r="AU77" s="76">
        <f t="shared" si="193"/>
        <v>0</v>
      </c>
      <c r="AV77" s="76">
        <f t="shared" si="238"/>
        <v>0</v>
      </c>
      <c r="AW77" s="76">
        <f t="shared" si="239"/>
        <v>0</v>
      </c>
      <c r="AX77" s="76">
        <f t="shared" si="240"/>
        <v>0</v>
      </c>
      <c r="AY77" s="51">
        <v>0</v>
      </c>
      <c r="AZ77" s="51">
        <v>0</v>
      </c>
      <c r="BA77" s="51">
        <v>0</v>
      </c>
      <c r="BB77" s="338"/>
      <c r="BC77" s="76">
        <f t="shared" si="202"/>
        <v>0</v>
      </c>
      <c r="BD77" s="76">
        <f t="shared" si="203"/>
        <v>0</v>
      </c>
      <c r="BE77" s="76">
        <f t="shared" si="243"/>
        <v>0</v>
      </c>
      <c r="BF77" s="76">
        <f t="shared" si="198"/>
        <v>0</v>
      </c>
      <c r="BG77" s="76">
        <f t="shared" si="199"/>
        <v>0</v>
      </c>
      <c r="BH77" s="76">
        <f t="shared" si="199"/>
        <v>0</v>
      </c>
      <c r="BI77" s="4">
        <v>0</v>
      </c>
      <c r="BJ77" s="76">
        <v>0</v>
      </c>
      <c r="BK77" s="76" t="e">
        <f t="shared" si="241"/>
        <v>#DIV/0!</v>
      </c>
      <c r="BL77" s="116" t="e">
        <f t="shared" si="223"/>
        <v>#DIV/0!</v>
      </c>
      <c r="BM77" s="4">
        <f t="shared" si="224"/>
        <v>0</v>
      </c>
      <c r="BN77" s="4">
        <f t="shared" si="65"/>
        <v>0</v>
      </c>
      <c r="BO77" s="4">
        <f t="shared" si="225"/>
        <v>0</v>
      </c>
      <c r="BP77" s="4">
        <f t="shared" si="66"/>
        <v>0</v>
      </c>
      <c r="BQ77" s="4">
        <f t="shared" si="226"/>
        <v>0</v>
      </c>
      <c r="BR77" s="4">
        <f t="shared" si="227"/>
        <v>0</v>
      </c>
      <c r="BS77" s="4">
        <f t="shared" si="228"/>
        <v>0</v>
      </c>
      <c r="BT77" s="4">
        <f t="shared" si="229"/>
        <v>0</v>
      </c>
      <c r="BU77" s="76">
        <f t="shared" si="230"/>
        <v>0</v>
      </c>
      <c r="BV77" s="116" t="s">
        <v>77</v>
      </c>
      <c r="BW77" s="88" t="s">
        <v>77</v>
      </c>
      <c r="BX77" s="88" t="s">
        <v>77</v>
      </c>
      <c r="BY77" s="89" t="s">
        <v>77</v>
      </c>
      <c r="BZ77" s="88" t="s">
        <v>77</v>
      </c>
      <c r="CA77" s="88" t="s">
        <v>77</v>
      </c>
      <c r="CB77" s="89" t="s">
        <v>77</v>
      </c>
      <c r="CC77" s="88" t="s">
        <v>77</v>
      </c>
      <c r="CD77" s="88" t="s">
        <v>77</v>
      </c>
      <c r="CE77" s="89" t="s">
        <v>77</v>
      </c>
      <c r="CF77" s="88" t="s">
        <v>77</v>
      </c>
      <c r="CG77" s="88" t="s">
        <v>77</v>
      </c>
      <c r="CH77" s="89" t="s">
        <v>77</v>
      </c>
      <c r="CI77" s="41">
        <f t="shared" si="231"/>
        <v>0</v>
      </c>
      <c r="CJ77" s="41">
        <f t="shared" si="232"/>
        <v>0</v>
      </c>
      <c r="CK77" s="41">
        <f t="shared" si="233"/>
        <v>0</v>
      </c>
      <c r="CL77" s="41">
        <f t="shared" si="234"/>
        <v>0</v>
      </c>
      <c r="CM77" s="88" t="s">
        <v>77</v>
      </c>
      <c r="CN77" s="88" t="s">
        <v>77</v>
      </c>
      <c r="CO77" s="89" t="s">
        <v>77</v>
      </c>
      <c r="CP77" s="88" t="s">
        <v>77</v>
      </c>
      <c r="CQ77" s="88" t="s">
        <v>77</v>
      </c>
      <c r="CR77" s="89" t="s">
        <v>77</v>
      </c>
      <c r="CS77" s="88" t="s">
        <v>77</v>
      </c>
      <c r="CT77" s="88" t="s">
        <v>77</v>
      </c>
      <c r="CU77" s="89" t="s">
        <v>77</v>
      </c>
      <c r="CV77" s="88" t="s">
        <v>77</v>
      </c>
      <c r="CW77" s="88" t="s">
        <v>77</v>
      </c>
      <c r="CX77" s="89" t="s">
        <v>77</v>
      </c>
      <c r="CY77" s="299" t="s">
        <v>323</v>
      </c>
      <c r="CZ77" s="298" t="s">
        <v>56</v>
      </c>
      <c r="DA77" s="298" t="s">
        <v>57</v>
      </c>
      <c r="DB77" s="298" t="s">
        <v>77</v>
      </c>
      <c r="DC77" s="298" t="s">
        <v>57</v>
      </c>
      <c r="DD77" s="65" t="s">
        <v>298</v>
      </c>
      <c r="DE77" s="65" t="s">
        <v>297</v>
      </c>
      <c r="DF77" s="298"/>
      <c r="DG77" s="298"/>
      <c r="DH77" s="298"/>
      <c r="DI77" s="298"/>
      <c r="DJ77" s="279"/>
      <c r="DK77" s="279"/>
      <c r="DL77" s="280"/>
      <c r="DM77" s="279"/>
      <c r="DN77" s="279"/>
      <c r="DO77" s="65" t="s">
        <v>215</v>
      </c>
      <c r="DP77" s="65"/>
      <c r="DQ77" s="117"/>
      <c r="DR77" s="29"/>
      <c r="DS77" s="29"/>
      <c r="DT77" s="29"/>
      <c r="DU77" s="29"/>
      <c r="DV77" s="29"/>
      <c r="DW77" s="29"/>
      <c r="DX77" s="29"/>
      <c r="DY77" s="29"/>
    </row>
    <row r="78" spans="1:129" ht="178.5" hidden="1" customHeight="1" x14ac:dyDescent="0.2">
      <c r="A78" s="540" t="s">
        <v>216</v>
      </c>
      <c r="B78" s="68" t="s">
        <v>217</v>
      </c>
      <c r="C78" s="68"/>
      <c r="D78" s="242"/>
      <c r="E78" s="65" t="s">
        <v>218</v>
      </c>
      <c r="F78" s="298" t="s">
        <v>77</v>
      </c>
      <c r="G78" s="298" t="s">
        <v>77</v>
      </c>
      <c r="H78" s="298" t="s">
        <v>219</v>
      </c>
      <c r="I78" s="285" t="s">
        <v>601</v>
      </c>
      <c r="J78" s="65" t="s">
        <v>220</v>
      </c>
      <c r="K78" s="298"/>
      <c r="L78" s="280" t="s">
        <v>11</v>
      </c>
      <c r="M78" s="321">
        <v>0</v>
      </c>
      <c r="N78" s="11" t="s">
        <v>77</v>
      </c>
      <c r="O78" s="317"/>
      <c r="P78" s="316">
        <f t="shared" si="212"/>
        <v>0</v>
      </c>
      <c r="Q78" s="103">
        <v>0</v>
      </c>
      <c r="R78" s="103">
        <v>0</v>
      </c>
      <c r="S78" s="4">
        <v>0</v>
      </c>
      <c r="T78" s="4">
        <v>0</v>
      </c>
      <c r="U78" s="4">
        <v>0</v>
      </c>
      <c r="V78" s="4">
        <v>0</v>
      </c>
      <c r="W78" s="51"/>
      <c r="X78" s="51"/>
      <c r="Y78" s="4">
        <f t="shared" si="215"/>
        <v>0</v>
      </c>
      <c r="Z78" s="4">
        <f t="shared" si="216"/>
        <v>0</v>
      </c>
      <c r="AA78" s="101">
        <f t="shared" si="217"/>
        <v>0</v>
      </c>
      <c r="AB78" s="101">
        <f t="shared" si="244"/>
        <v>0</v>
      </c>
      <c r="AC78" s="101">
        <f t="shared" si="242"/>
        <v>0</v>
      </c>
      <c r="AD78" s="4">
        <f t="shared" si="218"/>
        <v>0</v>
      </c>
      <c r="AE78" s="4">
        <f t="shared" si="219"/>
        <v>0</v>
      </c>
      <c r="AF78" s="4">
        <f t="shared" si="245"/>
        <v>0</v>
      </c>
      <c r="AG78" s="4">
        <f t="shared" si="246"/>
        <v>0</v>
      </c>
      <c r="AH78" s="76">
        <v>0</v>
      </c>
      <c r="AI78" s="76">
        <v>0</v>
      </c>
      <c r="AJ78" s="76">
        <f t="shared" si="188"/>
        <v>0</v>
      </c>
      <c r="AK78" s="76">
        <f t="shared" si="235"/>
        <v>0</v>
      </c>
      <c r="AL78" s="76">
        <f t="shared" si="236"/>
        <v>0</v>
      </c>
      <c r="AM78" s="76">
        <f t="shared" si="237"/>
        <v>0</v>
      </c>
      <c r="AN78" s="108">
        <v>0</v>
      </c>
      <c r="AO78" s="108"/>
      <c r="AP78" s="76">
        <f t="shared" si="221"/>
        <v>0</v>
      </c>
      <c r="AQ78" s="76">
        <f t="shared" si="221"/>
        <v>0</v>
      </c>
      <c r="AR78" s="76">
        <f t="shared" ref="AR78:AR89" si="247">(AP78+AQ78)/2</f>
        <v>0</v>
      </c>
      <c r="AS78" s="76">
        <v>0</v>
      </c>
      <c r="AT78" s="76">
        <v>0</v>
      </c>
      <c r="AU78" s="76">
        <f t="shared" si="193"/>
        <v>0</v>
      </c>
      <c r="AV78" s="76">
        <f t="shared" si="238"/>
        <v>0</v>
      </c>
      <c r="AW78" s="76">
        <f t="shared" si="239"/>
        <v>0</v>
      </c>
      <c r="AX78" s="76">
        <f t="shared" si="240"/>
        <v>0</v>
      </c>
      <c r="AY78" s="51">
        <v>0</v>
      </c>
      <c r="AZ78" s="51">
        <v>0</v>
      </c>
      <c r="BA78" s="51">
        <v>0</v>
      </c>
      <c r="BB78" s="338"/>
      <c r="BC78" s="76">
        <f t="shared" si="202"/>
        <v>0</v>
      </c>
      <c r="BD78" s="76">
        <f t="shared" si="203"/>
        <v>0</v>
      </c>
      <c r="BE78" s="76">
        <f t="shared" si="243"/>
        <v>0</v>
      </c>
      <c r="BF78" s="76">
        <f t="shared" si="198"/>
        <v>0</v>
      </c>
      <c r="BG78" s="76">
        <f t="shared" si="199"/>
        <v>0</v>
      </c>
      <c r="BH78" s="76">
        <f t="shared" si="199"/>
        <v>0</v>
      </c>
      <c r="BI78" s="4">
        <v>0</v>
      </c>
      <c r="BJ78" s="76">
        <v>0</v>
      </c>
      <c r="BK78" s="76" t="e">
        <f t="shared" si="241"/>
        <v>#DIV/0!</v>
      </c>
      <c r="BL78" s="116" t="e">
        <f t="shared" si="223"/>
        <v>#DIV/0!</v>
      </c>
      <c r="BM78" s="4">
        <f t="shared" si="224"/>
        <v>0</v>
      </c>
      <c r="BN78" s="4">
        <f t="shared" ref="BN78:BN89" si="248">BM78*0.4536</f>
        <v>0</v>
      </c>
      <c r="BO78" s="4">
        <f t="shared" si="225"/>
        <v>0</v>
      </c>
      <c r="BP78" s="4">
        <f t="shared" ref="BP78:BP89" si="249">BO78*0.4536</f>
        <v>0</v>
      </c>
      <c r="BQ78" s="4">
        <f t="shared" si="226"/>
        <v>0</v>
      </c>
      <c r="BR78" s="4">
        <f t="shared" si="227"/>
        <v>0</v>
      </c>
      <c r="BS78" s="4">
        <f t="shared" si="228"/>
        <v>0</v>
      </c>
      <c r="BT78" s="4">
        <f t="shared" si="229"/>
        <v>0</v>
      </c>
      <c r="BU78" s="76">
        <f t="shared" si="230"/>
        <v>0</v>
      </c>
      <c r="BV78" s="116" t="s">
        <v>77</v>
      </c>
      <c r="BW78" s="88" t="s">
        <v>77</v>
      </c>
      <c r="BX78" s="88" t="s">
        <v>77</v>
      </c>
      <c r="BY78" s="89" t="s">
        <v>77</v>
      </c>
      <c r="BZ78" s="88" t="s">
        <v>77</v>
      </c>
      <c r="CA78" s="88" t="s">
        <v>77</v>
      </c>
      <c r="CB78" s="89" t="s">
        <v>77</v>
      </c>
      <c r="CC78" s="88" t="s">
        <v>77</v>
      </c>
      <c r="CD78" s="88" t="s">
        <v>77</v>
      </c>
      <c r="CE78" s="89" t="s">
        <v>77</v>
      </c>
      <c r="CF78" s="88" t="s">
        <v>77</v>
      </c>
      <c r="CG78" s="88" t="s">
        <v>77</v>
      </c>
      <c r="CH78" s="89" t="s">
        <v>77</v>
      </c>
      <c r="CI78" s="41">
        <f t="shared" si="231"/>
        <v>0</v>
      </c>
      <c r="CJ78" s="41">
        <f t="shared" si="232"/>
        <v>0</v>
      </c>
      <c r="CK78" s="41">
        <f t="shared" si="233"/>
        <v>0</v>
      </c>
      <c r="CL78" s="41">
        <f t="shared" si="234"/>
        <v>0</v>
      </c>
      <c r="CM78" s="88" t="s">
        <v>77</v>
      </c>
      <c r="CN78" s="88" t="s">
        <v>77</v>
      </c>
      <c r="CO78" s="89" t="s">
        <v>77</v>
      </c>
      <c r="CP78" s="88" t="s">
        <v>77</v>
      </c>
      <c r="CQ78" s="88" t="s">
        <v>77</v>
      </c>
      <c r="CR78" s="89" t="s">
        <v>77</v>
      </c>
      <c r="CS78" s="88" t="s">
        <v>77</v>
      </c>
      <c r="CT78" s="88" t="s">
        <v>77</v>
      </c>
      <c r="CU78" s="89" t="s">
        <v>77</v>
      </c>
      <c r="CV78" s="88" t="s">
        <v>77</v>
      </c>
      <c r="CW78" s="88" t="s">
        <v>77</v>
      </c>
      <c r="CX78" s="89" t="s">
        <v>77</v>
      </c>
      <c r="CY78" s="299" t="s">
        <v>122</v>
      </c>
      <c r="CZ78" s="298" t="s">
        <v>77</v>
      </c>
      <c r="DA78" s="298" t="s">
        <v>56</v>
      </c>
      <c r="DB78" s="298" t="s">
        <v>77</v>
      </c>
      <c r="DC78" s="298" t="s">
        <v>56</v>
      </c>
      <c r="DD78" s="65" t="s">
        <v>299</v>
      </c>
      <c r="DE78" s="65" t="s">
        <v>300</v>
      </c>
      <c r="DF78" s="298"/>
      <c r="DG78" s="298"/>
      <c r="DH78" s="298"/>
      <c r="DI78" s="298"/>
      <c r="DJ78" s="279"/>
      <c r="DK78" s="279"/>
      <c r="DL78" s="280"/>
      <c r="DM78" s="279"/>
      <c r="DN78" s="279"/>
      <c r="DO78" s="65" t="s">
        <v>215</v>
      </c>
      <c r="DP78" s="65"/>
      <c r="DQ78" s="117"/>
      <c r="DR78" s="29"/>
      <c r="DS78" s="29"/>
      <c r="DT78" s="29"/>
      <c r="DU78" s="29"/>
      <c r="DV78" s="29"/>
      <c r="DW78" s="29"/>
      <c r="DX78" s="29"/>
      <c r="DY78" s="29"/>
    </row>
    <row r="79" spans="1:129" ht="63.75" hidden="1" customHeight="1" x14ac:dyDescent="0.2">
      <c r="A79" s="540"/>
      <c r="B79" s="68" t="s">
        <v>221</v>
      </c>
      <c r="C79" s="68"/>
      <c r="D79" s="242"/>
      <c r="E79" s="65" t="s">
        <v>222</v>
      </c>
      <c r="F79" s="298" t="s">
        <v>223</v>
      </c>
      <c r="G79" s="298" t="s">
        <v>77</v>
      </c>
      <c r="H79" s="298" t="s">
        <v>12</v>
      </c>
      <c r="I79" s="285" t="s">
        <v>601</v>
      </c>
      <c r="J79" s="65"/>
      <c r="K79" s="298"/>
      <c r="L79" s="280" t="s">
        <v>11</v>
      </c>
      <c r="M79" s="321">
        <v>0</v>
      </c>
      <c r="N79" s="11" t="s">
        <v>77</v>
      </c>
      <c r="O79" s="317"/>
      <c r="P79" s="316">
        <f t="shared" si="212"/>
        <v>0</v>
      </c>
      <c r="Q79" s="103">
        <v>0</v>
      </c>
      <c r="R79" s="103">
        <v>0</v>
      </c>
      <c r="S79" s="4">
        <v>0</v>
      </c>
      <c r="T79" s="4">
        <v>0</v>
      </c>
      <c r="U79" s="4">
        <v>0</v>
      </c>
      <c r="V79" s="4">
        <v>0</v>
      </c>
      <c r="W79" s="51"/>
      <c r="X79" s="51"/>
      <c r="Y79" s="4">
        <f t="shared" si="215"/>
        <v>0</v>
      </c>
      <c r="Z79" s="4">
        <f t="shared" si="216"/>
        <v>0</v>
      </c>
      <c r="AA79" s="101">
        <f t="shared" si="217"/>
        <v>0</v>
      </c>
      <c r="AB79" s="101">
        <f t="shared" si="244"/>
        <v>0</v>
      </c>
      <c r="AC79" s="101">
        <f t="shared" si="242"/>
        <v>0</v>
      </c>
      <c r="AD79" s="4">
        <f t="shared" si="218"/>
        <v>0</v>
      </c>
      <c r="AE79" s="4">
        <f t="shared" si="219"/>
        <v>0</v>
      </c>
      <c r="AF79" s="4">
        <f t="shared" si="245"/>
        <v>0</v>
      </c>
      <c r="AG79" s="4">
        <f t="shared" si="246"/>
        <v>0</v>
      </c>
      <c r="AH79" s="76">
        <v>0</v>
      </c>
      <c r="AI79" s="76">
        <v>0</v>
      </c>
      <c r="AJ79" s="76">
        <f t="shared" si="188"/>
        <v>0</v>
      </c>
      <c r="AK79" s="76">
        <f t="shared" si="235"/>
        <v>0</v>
      </c>
      <c r="AL79" s="76">
        <f t="shared" si="236"/>
        <v>0</v>
      </c>
      <c r="AM79" s="76">
        <f t="shared" si="237"/>
        <v>0</v>
      </c>
      <c r="AN79" s="108">
        <v>0</v>
      </c>
      <c r="AO79" s="108"/>
      <c r="AP79" s="76">
        <f t="shared" si="221"/>
        <v>0</v>
      </c>
      <c r="AQ79" s="76">
        <f t="shared" si="221"/>
        <v>0</v>
      </c>
      <c r="AR79" s="76">
        <f t="shared" si="247"/>
        <v>0</v>
      </c>
      <c r="AS79" s="76">
        <v>0</v>
      </c>
      <c r="AT79" s="76">
        <v>0</v>
      </c>
      <c r="AU79" s="76">
        <f t="shared" si="193"/>
        <v>0</v>
      </c>
      <c r="AV79" s="76">
        <f t="shared" si="238"/>
        <v>0</v>
      </c>
      <c r="AW79" s="76">
        <f t="shared" si="239"/>
        <v>0</v>
      </c>
      <c r="AX79" s="76">
        <f t="shared" si="240"/>
        <v>0</v>
      </c>
      <c r="AY79" s="51">
        <v>0</v>
      </c>
      <c r="AZ79" s="51">
        <v>0</v>
      </c>
      <c r="BA79" s="51">
        <v>0</v>
      </c>
      <c r="BB79" s="338"/>
      <c r="BC79" s="76">
        <f t="shared" si="202"/>
        <v>0</v>
      </c>
      <c r="BD79" s="76">
        <f t="shared" si="203"/>
        <v>0</v>
      </c>
      <c r="BE79" s="76">
        <f t="shared" si="243"/>
        <v>0</v>
      </c>
      <c r="BF79" s="76">
        <f t="shared" si="198"/>
        <v>0</v>
      </c>
      <c r="BG79" s="76">
        <f t="shared" si="199"/>
        <v>0</v>
      </c>
      <c r="BH79" s="76">
        <f t="shared" si="199"/>
        <v>0</v>
      </c>
      <c r="BI79" s="4">
        <v>0</v>
      </c>
      <c r="BJ79" s="76">
        <v>0</v>
      </c>
      <c r="BK79" s="76" t="e">
        <f t="shared" si="241"/>
        <v>#DIV/0!</v>
      </c>
      <c r="BL79" s="116" t="e">
        <f t="shared" si="223"/>
        <v>#DIV/0!</v>
      </c>
      <c r="BM79" s="4">
        <f t="shared" si="224"/>
        <v>0</v>
      </c>
      <c r="BN79" s="4">
        <f t="shared" si="248"/>
        <v>0</v>
      </c>
      <c r="BO79" s="4">
        <f t="shared" si="225"/>
        <v>0</v>
      </c>
      <c r="BP79" s="4">
        <f t="shared" si="249"/>
        <v>0</v>
      </c>
      <c r="BQ79" s="4">
        <f t="shared" si="226"/>
        <v>0</v>
      </c>
      <c r="BR79" s="4">
        <f t="shared" si="227"/>
        <v>0</v>
      </c>
      <c r="BS79" s="4">
        <f t="shared" si="228"/>
        <v>0</v>
      </c>
      <c r="BT79" s="4">
        <f t="shared" si="229"/>
        <v>0</v>
      </c>
      <c r="BU79" s="76">
        <f t="shared" si="230"/>
        <v>0</v>
      </c>
      <c r="BV79" s="116" t="s">
        <v>77</v>
      </c>
      <c r="BW79" s="88" t="s">
        <v>77</v>
      </c>
      <c r="BX79" s="88" t="s">
        <v>77</v>
      </c>
      <c r="BY79" s="89" t="s">
        <v>77</v>
      </c>
      <c r="BZ79" s="88" t="s">
        <v>77</v>
      </c>
      <c r="CA79" s="88" t="s">
        <v>77</v>
      </c>
      <c r="CB79" s="89" t="s">
        <v>77</v>
      </c>
      <c r="CC79" s="88" t="s">
        <v>77</v>
      </c>
      <c r="CD79" s="88" t="s">
        <v>77</v>
      </c>
      <c r="CE79" s="89" t="s">
        <v>77</v>
      </c>
      <c r="CF79" s="88" t="s">
        <v>77</v>
      </c>
      <c r="CG79" s="88" t="s">
        <v>77</v>
      </c>
      <c r="CH79" s="89" t="s">
        <v>77</v>
      </c>
      <c r="CI79" s="41">
        <f t="shared" si="231"/>
        <v>0</v>
      </c>
      <c r="CJ79" s="41">
        <f t="shared" si="232"/>
        <v>0</v>
      </c>
      <c r="CK79" s="41">
        <f t="shared" si="233"/>
        <v>0</v>
      </c>
      <c r="CL79" s="41">
        <f t="shared" si="234"/>
        <v>0</v>
      </c>
      <c r="CM79" s="88" t="s">
        <v>77</v>
      </c>
      <c r="CN79" s="88" t="s">
        <v>77</v>
      </c>
      <c r="CO79" s="89" t="s">
        <v>77</v>
      </c>
      <c r="CP79" s="88" t="s">
        <v>77</v>
      </c>
      <c r="CQ79" s="88" t="s">
        <v>77</v>
      </c>
      <c r="CR79" s="89" t="s">
        <v>77</v>
      </c>
      <c r="CS79" s="88" t="s">
        <v>77</v>
      </c>
      <c r="CT79" s="88" t="s">
        <v>77</v>
      </c>
      <c r="CU79" s="89" t="s">
        <v>77</v>
      </c>
      <c r="CV79" s="88" t="s">
        <v>77</v>
      </c>
      <c r="CW79" s="88" t="s">
        <v>77</v>
      </c>
      <c r="CX79" s="89" t="s">
        <v>77</v>
      </c>
      <c r="CY79" s="299" t="s">
        <v>122</v>
      </c>
      <c r="CZ79" s="298" t="s">
        <v>77</v>
      </c>
      <c r="DA79" s="298" t="s">
        <v>57</v>
      </c>
      <c r="DB79" s="298" t="s">
        <v>77</v>
      </c>
      <c r="DC79" s="298" t="s">
        <v>57</v>
      </c>
      <c r="DD79" s="65"/>
      <c r="DE79" s="65"/>
      <c r="DF79" s="298"/>
      <c r="DG79" s="298"/>
      <c r="DH79" s="298"/>
      <c r="DI79" s="298"/>
      <c r="DJ79" s="279"/>
      <c r="DK79" s="279"/>
      <c r="DL79" s="280"/>
      <c r="DM79" s="279"/>
      <c r="DN79" s="279"/>
      <c r="DO79" s="65"/>
      <c r="DP79" s="65"/>
      <c r="DQ79" s="117"/>
      <c r="DR79" s="29"/>
      <c r="DS79" s="29"/>
      <c r="DT79" s="29"/>
      <c r="DU79" s="29"/>
      <c r="DV79" s="29"/>
      <c r="DW79" s="29"/>
      <c r="DX79" s="29"/>
      <c r="DY79" s="29"/>
    </row>
    <row r="80" spans="1:129" ht="153" customHeight="1" x14ac:dyDescent="0.2">
      <c r="A80" s="531" t="s">
        <v>224</v>
      </c>
      <c r="B80" s="81" t="s">
        <v>359</v>
      </c>
      <c r="C80" s="86"/>
      <c r="D80" s="243">
        <v>900</v>
      </c>
      <c r="E80" s="65" t="s">
        <v>444</v>
      </c>
      <c r="F80" s="11" t="s">
        <v>77</v>
      </c>
      <c r="G80" s="11" t="s">
        <v>77</v>
      </c>
      <c r="H80" s="11" t="s">
        <v>77</v>
      </c>
      <c r="I80" s="285" t="s">
        <v>601</v>
      </c>
      <c r="J80" s="69" t="s">
        <v>225</v>
      </c>
      <c r="K80" s="298"/>
      <c r="L80" s="6" t="s">
        <v>360</v>
      </c>
      <c r="M80" s="321" t="s">
        <v>77</v>
      </c>
      <c r="N80" s="321" t="s">
        <v>77</v>
      </c>
      <c r="O80" s="317">
        <v>1</v>
      </c>
      <c r="P80" s="316" t="s">
        <v>77</v>
      </c>
      <c r="Q80" s="3">
        <v>0</v>
      </c>
      <c r="R80" s="3">
        <v>0</v>
      </c>
      <c r="S80" s="4">
        <v>0</v>
      </c>
      <c r="T80" s="4">
        <v>0</v>
      </c>
      <c r="U80" s="4">
        <v>0</v>
      </c>
      <c r="V80" s="4">
        <v>0</v>
      </c>
      <c r="W80" s="51" t="s">
        <v>77</v>
      </c>
      <c r="X80" s="51" t="s">
        <v>77</v>
      </c>
      <c r="Y80" s="4">
        <v>0</v>
      </c>
      <c r="Z80" s="4">
        <v>0</v>
      </c>
      <c r="AA80" s="4">
        <f t="shared" si="217"/>
        <v>0</v>
      </c>
      <c r="AB80" s="4">
        <f t="shared" ref="AB80" si="250">Z80*0.4536</f>
        <v>0</v>
      </c>
      <c r="AC80" s="101">
        <f t="shared" si="242"/>
        <v>0</v>
      </c>
      <c r="AD80" s="4">
        <v>0</v>
      </c>
      <c r="AE80" s="4">
        <v>0</v>
      </c>
      <c r="AF80" s="4">
        <f t="shared" ref="AF80" si="251">AD80*0.4536</f>
        <v>0</v>
      </c>
      <c r="AG80" s="4">
        <f t="shared" ref="AG80" si="252">AE80*0.4536</f>
        <v>0</v>
      </c>
      <c r="AH80" s="76">
        <v>0</v>
      </c>
      <c r="AI80" s="76">
        <v>0</v>
      </c>
      <c r="AJ80" s="76">
        <f t="shared" si="188"/>
        <v>0</v>
      </c>
      <c r="AK80" s="76">
        <f t="shared" si="235"/>
        <v>0</v>
      </c>
      <c r="AL80" s="76">
        <f t="shared" si="236"/>
        <v>0</v>
      </c>
      <c r="AM80" s="76">
        <f t="shared" si="237"/>
        <v>0</v>
      </c>
      <c r="AN80" s="108">
        <v>0.1</v>
      </c>
      <c r="AO80" s="76">
        <v>0</v>
      </c>
      <c r="AP80" s="76">
        <f t="shared" ref="AP80:AP89" si="253">(AK80*(1+$AN$2))+AO80</f>
        <v>0</v>
      </c>
      <c r="AQ80" s="76">
        <f t="shared" ref="AQ80:AQ89" si="254">(AL80*(1+$AN$2))+AO80</f>
        <v>0</v>
      </c>
      <c r="AR80" s="76">
        <f t="shared" si="247"/>
        <v>0</v>
      </c>
      <c r="AS80" s="6">
        <v>0.1</v>
      </c>
      <c r="AT80" s="6">
        <v>0.2</v>
      </c>
      <c r="AU80" s="76">
        <f t="shared" si="193"/>
        <v>0.15000000000000002</v>
      </c>
      <c r="AV80" s="76">
        <f t="shared" si="238"/>
        <v>0.1</v>
      </c>
      <c r="AW80" s="76">
        <f t="shared" si="239"/>
        <v>0.2</v>
      </c>
      <c r="AX80" s="76">
        <f t="shared" si="240"/>
        <v>0.15000000000000002</v>
      </c>
      <c r="AY80" s="51">
        <v>0</v>
      </c>
      <c r="AZ80" s="51">
        <v>0</v>
      </c>
      <c r="BA80" s="51">
        <v>0</v>
      </c>
      <c r="BB80" s="342" t="s">
        <v>55</v>
      </c>
      <c r="BC80" s="76">
        <f>AP80*(1+$AZ80)</f>
        <v>0</v>
      </c>
      <c r="BD80" s="76">
        <f>AQ80*(1+$AZ80)</f>
        <v>0</v>
      </c>
      <c r="BE80" s="76">
        <f t="shared" si="243"/>
        <v>0</v>
      </c>
      <c r="BF80" s="6">
        <f>AV80*(1+$BA80)</f>
        <v>0.1</v>
      </c>
      <c r="BG80" s="6">
        <f>AW80*(1+$BA80)</f>
        <v>0.2</v>
      </c>
      <c r="BH80" s="76">
        <f t="shared" si="199"/>
        <v>0.15000000000000002</v>
      </c>
      <c r="BI80" s="4">
        <v>10</v>
      </c>
      <c r="BJ80" s="76">
        <v>0</v>
      </c>
      <c r="BK80" s="76">
        <f t="shared" si="241"/>
        <v>0</v>
      </c>
      <c r="BL80" s="116">
        <f t="shared" si="223"/>
        <v>0</v>
      </c>
      <c r="BM80" s="4">
        <f t="shared" si="224"/>
        <v>0</v>
      </c>
      <c r="BN80" s="4">
        <f t="shared" si="248"/>
        <v>0</v>
      </c>
      <c r="BO80" s="4">
        <f t="shared" si="225"/>
        <v>0</v>
      </c>
      <c r="BP80" s="4">
        <f t="shared" si="249"/>
        <v>0</v>
      </c>
      <c r="BQ80" s="335">
        <f t="shared" ref="BQ80:BQ89" si="255">IF($Q80&lt;$W$112,BM80,(BM80-((BM80/$Q80)*($Q80-$W$112))))</f>
        <v>0</v>
      </c>
      <c r="BR80" s="335">
        <f t="shared" ref="BR80:BR89" si="256">IF($Q80&lt;$W$112,BN80,(BN80-((BN80/$Q80)*($Q80-$W$112))))</f>
        <v>0</v>
      </c>
      <c r="BS80" s="335">
        <f t="shared" ref="BS80:BS89" si="257">IF($R80&lt;$X$112,BO80,(BO80-((BO80/$R80)*($R80-$X$112))))</f>
        <v>0</v>
      </c>
      <c r="BT80" s="335">
        <f t="shared" ref="BT80:BT89" si="258">IF($R80&lt;$X$112,BP80,(BP80-((BP80/$R80)*($R80-$X$112))))</f>
        <v>0</v>
      </c>
      <c r="BU80" s="76">
        <f t="shared" ref="BU80:BU89" si="259">IF((Y80+Z80+AD80+AE80=0),(BE80+PV($BY$2,$CB$2,-BH80,0,0)),"N/A")</f>
        <v>1.869331551380998</v>
      </c>
      <c r="BV80" s="116" t="s">
        <v>77</v>
      </c>
      <c r="BW80" s="88" t="s">
        <v>77</v>
      </c>
      <c r="BX80" s="88" t="s">
        <v>77</v>
      </c>
      <c r="BY80" s="89" t="s">
        <v>77</v>
      </c>
      <c r="BZ80" s="88" t="s">
        <v>77</v>
      </c>
      <c r="CA80" s="88" t="s">
        <v>77</v>
      </c>
      <c r="CB80" s="89" t="s">
        <v>77</v>
      </c>
      <c r="CC80" s="88" t="s">
        <v>77</v>
      </c>
      <c r="CD80" s="88" t="s">
        <v>77</v>
      </c>
      <c r="CE80" s="89" t="s">
        <v>77</v>
      </c>
      <c r="CF80" s="88" t="s">
        <v>77</v>
      </c>
      <c r="CG80" s="88" t="s">
        <v>77</v>
      </c>
      <c r="CH80" s="89" t="s">
        <v>77</v>
      </c>
      <c r="CI80" s="42" t="s">
        <v>77</v>
      </c>
      <c r="CJ80" s="42" t="s">
        <v>77</v>
      </c>
      <c r="CK80" s="42" t="s">
        <v>77</v>
      </c>
      <c r="CL80" s="42" t="s">
        <v>77</v>
      </c>
      <c r="CM80" s="88" t="s">
        <v>77</v>
      </c>
      <c r="CN80" s="88" t="s">
        <v>77</v>
      </c>
      <c r="CO80" s="89" t="s">
        <v>77</v>
      </c>
      <c r="CP80" s="88" t="s">
        <v>77</v>
      </c>
      <c r="CQ80" s="88" t="s">
        <v>77</v>
      </c>
      <c r="CR80" s="89" t="s">
        <v>77</v>
      </c>
      <c r="CS80" s="88" t="s">
        <v>77</v>
      </c>
      <c r="CT80" s="88" t="s">
        <v>77</v>
      </c>
      <c r="CU80" s="89" t="s">
        <v>77</v>
      </c>
      <c r="CV80" s="88" t="s">
        <v>77</v>
      </c>
      <c r="CW80" s="88" t="s">
        <v>77</v>
      </c>
      <c r="CX80" s="89" t="s">
        <v>77</v>
      </c>
      <c r="CY80" s="299" t="s">
        <v>324</v>
      </c>
      <c r="CZ80" s="298" t="s">
        <v>77</v>
      </c>
      <c r="DA80" s="298" t="s">
        <v>57</v>
      </c>
      <c r="DB80" s="298" t="s">
        <v>77</v>
      </c>
      <c r="DC80" s="298" t="s">
        <v>56</v>
      </c>
      <c r="DD80" s="285" t="s">
        <v>226</v>
      </c>
      <c r="DE80" s="285" t="s">
        <v>274</v>
      </c>
      <c r="DF80" s="298" t="s">
        <v>57</v>
      </c>
      <c r="DG80" s="298" t="s">
        <v>57</v>
      </c>
      <c r="DH80" s="298" t="s">
        <v>57</v>
      </c>
      <c r="DI80" s="298" t="s">
        <v>57</v>
      </c>
      <c r="DJ80" s="280" t="s">
        <v>77</v>
      </c>
      <c r="DK80" s="280" t="s">
        <v>77</v>
      </c>
      <c r="DL80" s="280" t="s">
        <v>77</v>
      </c>
      <c r="DM80" s="280" t="s">
        <v>77</v>
      </c>
      <c r="DN80" s="280" t="s">
        <v>77</v>
      </c>
      <c r="DO80" s="279" t="s">
        <v>523</v>
      </c>
      <c r="DP80" s="280"/>
      <c r="DQ80" s="118"/>
      <c r="DR80" s="28"/>
      <c r="DS80" s="28"/>
      <c r="DT80" s="28"/>
      <c r="DU80" s="28"/>
      <c r="DV80" s="28"/>
      <c r="DW80" s="28"/>
      <c r="DX80" s="28"/>
      <c r="DY80" s="28"/>
    </row>
    <row r="81" spans="1:130" ht="153" customHeight="1" x14ac:dyDescent="0.2">
      <c r="A81" s="531"/>
      <c r="B81" s="287" t="s">
        <v>39</v>
      </c>
      <c r="C81" s="84"/>
      <c r="D81" s="241">
        <v>901</v>
      </c>
      <c r="E81" s="65" t="s">
        <v>444</v>
      </c>
      <c r="F81" s="11" t="s">
        <v>77</v>
      </c>
      <c r="G81" s="11" t="s">
        <v>77</v>
      </c>
      <c r="H81" s="11" t="s">
        <v>77</v>
      </c>
      <c r="I81" s="285" t="s">
        <v>497</v>
      </c>
      <c r="J81" s="69" t="s">
        <v>225</v>
      </c>
      <c r="K81" s="298"/>
      <c r="L81" s="6" t="s">
        <v>54</v>
      </c>
      <c r="M81" s="321" t="s">
        <v>77</v>
      </c>
      <c r="N81" s="321" t="s">
        <v>77</v>
      </c>
      <c r="O81" s="317">
        <v>1</v>
      </c>
      <c r="P81" s="316" t="s">
        <v>77</v>
      </c>
      <c r="Q81" s="3">
        <v>0</v>
      </c>
      <c r="R81" s="3">
        <v>0</v>
      </c>
      <c r="S81" s="4">
        <v>0</v>
      </c>
      <c r="T81" s="4">
        <v>0</v>
      </c>
      <c r="U81" s="4">
        <v>0</v>
      </c>
      <c r="V81" s="4">
        <v>0</v>
      </c>
      <c r="W81" s="51" t="s">
        <v>77</v>
      </c>
      <c r="X81" s="51" t="s">
        <v>77</v>
      </c>
      <c r="Y81" s="4">
        <v>0</v>
      </c>
      <c r="Z81" s="4">
        <v>0</v>
      </c>
      <c r="AA81" s="4">
        <f t="shared" si="217"/>
        <v>0</v>
      </c>
      <c r="AB81" s="4">
        <f t="shared" ref="AB81:AB89" si="260">Z81*0.4536</f>
        <v>0</v>
      </c>
      <c r="AC81" s="101">
        <f t="shared" ref="AC81:AC89" si="261">(AA81+AB81)/2</f>
        <v>0</v>
      </c>
      <c r="AD81" s="4">
        <v>0</v>
      </c>
      <c r="AE81" s="4">
        <v>0</v>
      </c>
      <c r="AF81" s="4">
        <f t="shared" ref="AF81:AF89" si="262">AD81*0.4536</f>
        <v>0</v>
      </c>
      <c r="AG81" s="4">
        <f t="shared" ref="AG81:AG89" si="263">AE81*0.4536</f>
        <v>0</v>
      </c>
      <c r="AH81" s="76">
        <v>0</v>
      </c>
      <c r="AI81" s="76">
        <v>0</v>
      </c>
      <c r="AJ81" s="76">
        <f t="shared" si="188"/>
        <v>0</v>
      </c>
      <c r="AK81" s="76">
        <f t="shared" si="235"/>
        <v>0</v>
      </c>
      <c r="AL81" s="76">
        <f t="shared" si="236"/>
        <v>0</v>
      </c>
      <c r="AM81" s="76">
        <f t="shared" si="237"/>
        <v>0</v>
      </c>
      <c r="AN81" s="108">
        <v>0.1</v>
      </c>
      <c r="AO81" s="76">
        <v>0</v>
      </c>
      <c r="AP81" s="76">
        <f t="shared" si="253"/>
        <v>0</v>
      </c>
      <c r="AQ81" s="76">
        <f t="shared" si="254"/>
        <v>0</v>
      </c>
      <c r="AR81" s="76">
        <f t="shared" si="247"/>
        <v>0</v>
      </c>
      <c r="AS81" s="76">
        <v>0</v>
      </c>
      <c r="AT81" s="76">
        <v>0</v>
      </c>
      <c r="AU81" s="76">
        <f t="shared" si="193"/>
        <v>0</v>
      </c>
      <c r="AV81" s="76">
        <f t="shared" si="238"/>
        <v>0</v>
      </c>
      <c r="AW81" s="76">
        <f t="shared" si="239"/>
        <v>0</v>
      </c>
      <c r="AX81" s="76">
        <f t="shared" si="240"/>
        <v>0</v>
      </c>
      <c r="AY81" s="51">
        <v>0</v>
      </c>
      <c r="AZ81" s="51">
        <v>0.1</v>
      </c>
      <c r="BA81" s="51">
        <v>0</v>
      </c>
      <c r="BB81" s="338" t="s">
        <v>303</v>
      </c>
      <c r="BC81" s="76">
        <f>AP81*(1+$AZ81)</f>
        <v>0</v>
      </c>
      <c r="BD81" s="76">
        <f>AQ81*(1+$AZ81)</f>
        <v>0</v>
      </c>
      <c r="BE81" s="76">
        <f t="shared" si="243"/>
        <v>0</v>
      </c>
      <c r="BF81" s="76">
        <f>AV81*(1+$BA81)</f>
        <v>0</v>
      </c>
      <c r="BG81" s="76">
        <f>AW81*(1+$BA81)</f>
        <v>0</v>
      </c>
      <c r="BH81" s="76">
        <f t="shared" si="199"/>
        <v>0</v>
      </c>
      <c r="BI81" s="4">
        <v>10</v>
      </c>
      <c r="BJ81" s="76">
        <v>0</v>
      </c>
      <c r="BK81" s="76">
        <f t="shared" si="241"/>
        <v>0</v>
      </c>
      <c r="BL81" s="116">
        <f t="shared" si="223"/>
        <v>0</v>
      </c>
      <c r="BM81" s="4">
        <f t="shared" si="224"/>
        <v>0</v>
      </c>
      <c r="BN81" s="4">
        <f t="shared" si="248"/>
        <v>0</v>
      </c>
      <c r="BO81" s="4">
        <f t="shared" si="225"/>
        <v>0</v>
      </c>
      <c r="BP81" s="4">
        <f t="shared" si="249"/>
        <v>0</v>
      </c>
      <c r="BQ81" s="335">
        <f t="shared" si="255"/>
        <v>0</v>
      </c>
      <c r="BR81" s="335">
        <f t="shared" si="256"/>
        <v>0</v>
      </c>
      <c r="BS81" s="335">
        <f t="shared" si="257"/>
        <v>0</v>
      </c>
      <c r="BT81" s="335">
        <f t="shared" si="258"/>
        <v>0</v>
      </c>
      <c r="BU81" s="76">
        <f t="shared" si="259"/>
        <v>0</v>
      </c>
      <c r="BV81" s="116" t="s">
        <v>77</v>
      </c>
      <c r="BW81" s="88" t="s">
        <v>77</v>
      </c>
      <c r="BX81" s="88" t="s">
        <v>77</v>
      </c>
      <c r="BY81" s="89" t="s">
        <v>77</v>
      </c>
      <c r="BZ81" s="88" t="s">
        <v>77</v>
      </c>
      <c r="CA81" s="88" t="s">
        <v>77</v>
      </c>
      <c r="CB81" s="89" t="s">
        <v>77</v>
      </c>
      <c r="CC81" s="88" t="s">
        <v>77</v>
      </c>
      <c r="CD81" s="88" t="s">
        <v>77</v>
      </c>
      <c r="CE81" s="89" t="s">
        <v>77</v>
      </c>
      <c r="CF81" s="88" t="s">
        <v>77</v>
      </c>
      <c r="CG81" s="88" t="s">
        <v>77</v>
      </c>
      <c r="CH81" s="89" t="s">
        <v>77</v>
      </c>
      <c r="CI81" s="42" t="s">
        <v>77</v>
      </c>
      <c r="CJ81" s="42" t="s">
        <v>77</v>
      </c>
      <c r="CK81" s="42" t="s">
        <v>77</v>
      </c>
      <c r="CL81" s="42" t="s">
        <v>77</v>
      </c>
      <c r="CM81" s="88" t="s">
        <v>77</v>
      </c>
      <c r="CN81" s="88" t="s">
        <v>77</v>
      </c>
      <c r="CO81" s="89" t="s">
        <v>77</v>
      </c>
      <c r="CP81" s="88" t="s">
        <v>77</v>
      </c>
      <c r="CQ81" s="88" t="s">
        <v>77</v>
      </c>
      <c r="CR81" s="89" t="s">
        <v>77</v>
      </c>
      <c r="CS81" s="88" t="s">
        <v>77</v>
      </c>
      <c r="CT81" s="88" t="s">
        <v>77</v>
      </c>
      <c r="CU81" s="89" t="s">
        <v>77</v>
      </c>
      <c r="CV81" s="88" t="s">
        <v>77</v>
      </c>
      <c r="CW81" s="88" t="s">
        <v>77</v>
      </c>
      <c r="CX81" s="89" t="s">
        <v>77</v>
      </c>
      <c r="CY81" s="299" t="s">
        <v>324</v>
      </c>
      <c r="CZ81" s="298" t="s">
        <v>77</v>
      </c>
      <c r="DA81" s="298" t="s">
        <v>57</v>
      </c>
      <c r="DB81" s="298" t="s">
        <v>77</v>
      </c>
      <c r="DC81" s="298" t="s">
        <v>56</v>
      </c>
      <c r="DD81" s="285" t="s">
        <v>226</v>
      </c>
      <c r="DE81" s="285" t="s">
        <v>274</v>
      </c>
      <c r="DF81" s="298" t="s">
        <v>57</v>
      </c>
      <c r="DG81" s="298" t="s">
        <v>57</v>
      </c>
      <c r="DH81" s="298" t="s">
        <v>57</v>
      </c>
      <c r="DI81" s="298" t="s">
        <v>57</v>
      </c>
      <c r="DJ81" s="280" t="s">
        <v>77</v>
      </c>
      <c r="DK81" s="280" t="s">
        <v>77</v>
      </c>
      <c r="DL81" s="280" t="s">
        <v>77</v>
      </c>
      <c r="DM81" s="280" t="s">
        <v>77</v>
      </c>
      <c r="DN81" s="280" t="s">
        <v>77</v>
      </c>
      <c r="DO81" s="279" t="s">
        <v>523</v>
      </c>
      <c r="DP81" s="280"/>
      <c r="DQ81" s="118"/>
      <c r="DR81" s="28"/>
      <c r="DS81" s="28"/>
      <c r="DT81" s="28"/>
      <c r="DU81" s="28"/>
      <c r="DV81" s="28"/>
      <c r="DW81" s="28"/>
      <c r="DX81" s="28"/>
      <c r="DY81" s="28"/>
    </row>
    <row r="82" spans="1:130" ht="140.25" customHeight="1" x14ac:dyDescent="0.2">
      <c r="A82" s="531"/>
      <c r="B82" s="287" t="s">
        <v>51</v>
      </c>
      <c r="C82" s="84"/>
      <c r="D82" s="241">
        <v>902</v>
      </c>
      <c r="E82" s="65" t="s">
        <v>227</v>
      </c>
      <c r="F82" s="11" t="s">
        <v>77</v>
      </c>
      <c r="G82" s="11" t="s">
        <v>77</v>
      </c>
      <c r="H82" s="11" t="s">
        <v>77</v>
      </c>
      <c r="I82" s="285" t="s">
        <v>497</v>
      </c>
      <c r="J82" s="70" t="s">
        <v>228</v>
      </c>
      <c r="K82" s="298"/>
      <c r="L82" s="6" t="s">
        <v>54</v>
      </c>
      <c r="M82" s="321" t="s">
        <v>77</v>
      </c>
      <c r="N82" s="321" t="s">
        <v>77</v>
      </c>
      <c r="O82" s="317">
        <v>1</v>
      </c>
      <c r="P82" s="316" t="s">
        <v>77</v>
      </c>
      <c r="Q82" s="3">
        <v>0</v>
      </c>
      <c r="R82" s="3">
        <v>0</v>
      </c>
      <c r="S82" s="4">
        <v>0</v>
      </c>
      <c r="T82" s="4">
        <v>0</v>
      </c>
      <c r="U82" s="4">
        <v>0</v>
      </c>
      <c r="V82" s="4">
        <v>0</v>
      </c>
      <c r="W82" s="51" t="s">
        <v>77</v>
      </c>
      <c r="X82" s="51" t="s">
        <v>77</v>
      </c>
      <c r="Y82" s="4">
        <v>0</v>
      </c>
      <c r="Z82" s="4">
        <v>0</v>
      </c>
      <c r="AA82" s="4">
        <f t="shared" si="217"/>
        <v>0</v>
      </c>
      <c r="AB82" s="4">
        <f t="shared" si="260"/>
        <v>0</v>
      </c>
      <c r="AC82" s="101">
        <f t="shared" si="261"/>
        <v>0</v>
      </c>
      <c r="AD82" s="4">
        <v>0</v>
      </c>
      <c r="AE82" s="4">
        <v>0</v>
      </c>
      <c r="AF82" s="4">
        <f t="shared" si="262"/>
        <v>0</v>
      </c>
      <c r="AG82" s="4">
        <f t="shared" si="263"/>
        <v>0</v>
      </c>
      <c r="AH82" s="76">
        <v>65</v>
      </c>
      <c r="AI82" s="76">
        <v>90</v>
      </c>
      <c r="AJ82" s="76">
        <f t="shared" si="188"/>
        <v>77.5</v>
      </c>
      <c r="AK82" s="76">
        <f t="shared" si="235"/>
        <v>65</v>
      </c>
      <c r="AL82" s="76">
        <f t="shared" si="236"/>
        <v>90</v>
      </c>
      <c r="AM82" s="76">
        <f t="shared" si="237"/>
        <v>77.5</v>
      </c>
      <c r="AN82" s="108">
        <v>0.3</v>
      </c>
      <c r="AO82" s="76">
        <v>0</v>
      </c>
      <c r="AP82" s="76">
        <f t="shared" si="253"/>
        <v>91</v>
      </c>
      <c r="AQ82" s="76">
        <f t="shared" si="254"/>
        <v>125.99999999999999</v>
      </c>
      <c r="AR82" s="76">
        <f t="shared" si="247"/>
        <v>108.5</v>
      </c>
      <c r="AS82" s="76">
        <v>65</v>
      </c>
      <c r="AT82" s="76">
        <v>210</v>
      </c>
      <c r="AU82" s="76">
        <f t="shared" si="193"/>
        <v>137.5</v>
      </c>
      <c r="AV82" s="76">
        <f t="shared" si="238"/>
        <v>65</v>
      </c>
      <c r="AW82" s="76">
        <f t="shared" si="239"/>
        <v>210</v>
      </c>
      <c r="AX82" s="76">
        <f t="shared" si="240"/>
        <v>137.5</v>
      </c>
      <c r="AY82" s="51">
        <v>0</v>
      </c>
      <c r="AZ82" s="51">
        <v>0.1</v>
      </c>
      <c r="BA82" s="51">
        <v>0</v>
      </c>
      <c r="BB82" s="338" t="s">
        <v>303</v>
      </c>
      <c r="BC82" s="76">
        <f t="shared" si="202"/>
        <v>100.10000000000001</v>
      </c>
      <c r="BD82" s="76">
        <f t="shared" si="203"/>
        <v>138.6</v>
      </c>
      <c r="BE82" s="76">
        <f t="shared" si="243"/>
        <v>119.35000000000001</v>
      </c>
      <c r="BF82" s="76">
        <f t="shared" si="198"/>
        <v>65</v>
      </c>
      <c r="BG82" s="76">
        <f t="shared" si="199"/>
        <v>210</v>
      </c>
      <c r="BH82" s="76">
        <f t="shared" si="199"/>
        <v>137.5</v>
      </c>
      <c r="BI82" s="4">
        <v>10</v>
      </c>
      <c r="BJ82" s="76">
        <v>30</v>
      </c>
      <c r="BK82" s="76">
        <f t="shared" si="241"/>
        <v>60</v>
      </c>
      <c r="BL82" s="116">
        <f t="shared" si="223"/>
        <v>29.724082092412797</v>
      </c>
      <c r="BM82" s="4">
        <f t="shared" si="224"/>
        <v>0</v>
      </c>
      <c r="BN82" s="4">
        <f t="shared" si="248"/>
        <v>0</v>
      </c>
      <c r="BO82" s="4">
        <f t="shared" si="225"/>
        <v>0</v>
      </c>
      <c r="BP82" s="4">
        <f t="shared" si="249"/>
        <v>0</v>
      </c>
      <c r="BQ82" s="335">
        <f t="shared" si="255"/>
        <v>0</v>
      </c>
      <c r="BR82" s="335">
        <f t="shared" si="256"/>
        <v>0</v>
      </c>
      <c r="BS82" s="335">
        <f t="shared" si="257"/>
        <v>0</v>
      </c>
      <c r="BT82" s="335">
        <f t="shared" si="258"/>
        <v>0</v>
      </c>
      <c r="BU82" s="76">
        <f t="shared" si="259"/>
        <v>1832.9039220992481</v>
      </c>
      <c r="BV82" s="116" t="s">
        <v>77</v>
      </c>
      <c r="BW82" s="88" t="s">
        <v>77</v>
      </c>
      <c r="BX82" s="88" t="s">
        <v>77</v>
      </c>
      <c r="BY82" s="89" t="s">
        <v>77</v>
      </c>
      <c r="BZ82" s="88" t="s">
        <v>77</v>
      </c>
      <c r="CA82" s="88" t="s">
        <v>77</v>
      </c>
      <c r="CB82" s="89" t="s">
        <v>77</v>
      </c>
      <c r="CC82" s="88" t="s">
        <v>77</v>
      </c>
      <c r="CD82" s="88" t="s">
        <v>77</v>
      </c>
      <c r="CE82" s="89" t="s">
        <v>77</v>
      </c>
      <c r="CF82" s="88" t="s">
        <v>77</v>
      </c>
      <c r="CG82" s="88" t="s">
        <v>77</v>
      </c>
      <c r="CH82" s="89" t="s">
        <v>77</v>
      </c>
      <c r="CI82" s="42" t="s">
        <v>77</v>
      </c>
      <c r="CJ82" s="42" t="s">
        <v>77</v>
      </c>
      <c r="CK82" s="42" t="s">
        <v>77</v>
      </c>
      <c r="CL82" s="42" t="s">
        <v>77</v>
      </c>
      <c r="CM82" s="88" t="s">
        <v>77</v>
      </c>
      <c r="CN82" s="88" t="s">
        <v>77</v>
      </c>
      <c r="CO82" s="89" t="s">
        <v>77</v>
      </c>
      <c r="CP82" s="88" t="s">
        <v>77</v>
      </c>
      <c r="CQ82" s="88" t="s">
        <v>77</v>
      </c>
      <c r="CR82" s="89" t="s">
        <v>77</v>
      </c>
      <c r="CS82" s="88" t="s">
        <v>77</v>
      </c>
      <c r="CT82" s="88" t="s">
        <v>77</v>
      </c>
      <c r="CU82" s="89" t="s">
        <v>77</v>
      </c>
      <c r="CV82" s="88" t="s">
        <v>77</v>
      </c>
      <c r="CW82" s="88" t="s">
        <v>77</v>
      </c>
      <c r="CX82" s="89" t="s">
        <v>77</v>
      </c>
      <c r="CY82" s="299" t="s">
        <v>324</v>
      </c>
      <c r="CZ82" s="298" t="s">
        <v>77</v>
      </c>
      <c r="DA82" s="298" t="s">
        <v>57</v>
      </c>
      <c r="DB82" s="298" t="s">
        <v>77</v>
      </c>
      <c r="DC82" s="298" t="s">
        <v>56</v>
      </c>
      <c r="DD82" s="285" t="s">
        <v>229</v>
      </c>
      <c r="DE82" s="285" t="s">
        <v>275</v>
      </c>
      <c r="DF82" s="298" t="s">
        <v>57</v>
      </c>
      <c r="DG82" s="298" t="s">
        <v>57</v>
      </c>
      <c r="DH82" s="298" t="s">
        <v>57</v>
      </c>
      <c r="DI82" s="298" t="s">
        <v>57</v>
      </c>
      <c r="DJ82" s="280" t="s">
        <v>77</v>
      </c>
      <c r="DK82" s="280" t="s">
        <v>77</v>
      </c>
      <c r="DL82" s="280" t="s">
        <v>77</v>
      </c>
      <c r="DM82" s="280" t="s">
        <v>77</v>
      </c>
      <c r="DN82" s="280" t="s">
        <v>77</v>
      </c>
      <c r="DO82" s="279" t="s">
        <v>523</v>
      </c>
      <c r="DP82" s="280"/>
      <c r="DQ82" s="118"/>
      <c r="DR82" s="28"/>
      <c r="DS82" s="28"/>
      <c r="DT82" s="28"/>
      <c r="DU82" s="28"/>
      <c r="DV82" s="28"/>
      <c r="DW82" s="28"/>
      <c r="DX82" s="28"/>
      <c r="DY82" s="28"/>
    </row>
    <row r="83" spans="1:130" ht="409.5" customHeight="1" x14ac:dyDescent="0.2">
      <c r="A83" s="531"/>
      <c r="B83" s="287" t="s">
        <v>40</v>
      </c>
      <c r="C83" s="84"/>
      <c r="D83" s="241">
        <v>903</v>
      </c>
      <c r="E83" s="65" t="s">
        <v>445</v>
      </c>
      <c r="F83" s="11" t="s">
        <v>77</v>
      </c>
      <c r="G83" s="11" t="s">
        <v>77</v>
      </c>
      <c r="H83" s="11" t="s">
        <v>77</v>
      </c>
      <c r="I83" s="285" t="s">
        <v>497</v>
      </c>
      <c r="J83" s="70" t="s">
        <v>230</v>
      </c>
      <c r="K83" s="298"/>
      <c r="L83" s="6" t="s">
        <v>54</v>
      </c>
      <c r="M83" s="321" t="s">
        <v>77</v>
      </c>
      <c r="N83" s="321" t="s">
        <v>77</v>
      </c>
      <c r="O83" s="317">
        <v>1</v>
      </c>
      <c r="P83" s="316" t="s">
        <v>77</v>
      </c>
      <c r="Q83" s="3">
        <v>0</v>
      </c>
      <c r="R83" s="3">
        <v>0</v>
      </c>
      <c r="S83" s="4">
        <v>0</v>
      </c>
      <c r="T83" s="4">
        <v>0</v>
      </c>
      <c r="U83" s="4">
        <v>0</v>
      </c>
      <c r="V83" s="4">
        <v>0</v>
      </c>
      <c r="W83" s="51" t="s">
        <v>77</v>
      </c>
      <c r="X83" s="51" t="s">
        <v>77</v>
      </c>
      <c r="Y83" s="4">
        <v>0</v>
      </c>
      <c r="Z83" s="4">
        <v>0</v>
      </c>
      <c r="AA83" s="4">
        <f t="shared" si="217"/>
        <v>0</v>
      </c>
      <c r="AB83" s="4">
        <f t="shared" si="260"/>
        <v>0</v>
      </c>
      <c r="AC83" s="101">
        <f t="shared" si="261"/>
        <v>0</v>
      </c>
      <c r="AD83" s="4">
        <v>0</v>
      </c>
      <c r="AE83" s="4">
        <v>0</v>
      </c>
      <c r="AF83" s="4">
        <f t="shared" si="262"/>
        <v>0</v>
      </c>
      <c r="AG83" s="4">
        <f t="shared" si="263"/>
        <v>0</v>
      </c>
      <c r="AH83" s="76">
        <v>70</v>
      </c>
      <c r="AI83" s="76">
        <v>105</v>
      </c>
      <c r="AJ83" s="76">
        <f t="shared" si="188"/>
        <v>87.5</v>
      </c>
      <c r="AK83" s="76">
        <f t="shared" si="235"/>
        <v>70</v>
      </c>
      <c r="AL83" s="76">
        <f t="shared" si="236"/>
        <v>105</v>
      </c>
      <c r="AM83" s="76">
        <f t="shared" si="237"/>
        <v>87.5</v>
      </c>
      <c r="AN83" s="108">
        <v>0.3</v>
      </c>
      <c r="AO83" s="76">
        <v>0</v>
      </c>
      <c r="AP83" s="76">
        <f t="shared" si="253"/>
        <v>98</v>
      </c>
      <c r="AQ83" s="76">
        <f t="shared" si="254"/>
        <v>147</v>
      </c>
      <c r="AR83" s="76">
        <f t="shared" si="247"/>
        <v>122.5</v>
      </c>
      <c r="AS83" s="76">
        <v>215</v>
      </c>
      <c r="AT83" s="76">
        <v>490</v>
      </c>
      <c r="AU83" s="76">
        <f t="shared" si="193"/>
        <v>352.5</v>
      </c>
      <c r="AV83" s="76">
        <f t="shared" si="238"/>
        <v>215</v>
      </c>
      <c r="AW83" s="76">
        <f t="shared" si="239"/>
        <v>490</v>
      </c>
      <c r="AX83" s="76">
        <f t="shared" si="240"/>
        <v>352.5</v>
      </c>
      <c r="AY83" s="51">
        <v>0</v>
      </c>
      <c r="AZ83" s="51">
        <v>0.1</v>
      </c>
      <c r="BA83" s="51">
        <v>0</v>
      </c>
      <c r="BB83" s="338" t="s">
        <v>303</v>
      </c>
      <c r="BC83" s="76">
        <f t="shared" si="202"/>
        <v>107.80000000000001</v>
      </c>
      <c r="BD83" s="76">
        <f t="shared" si="203"/>
        <v>161.70000000000002</v>
      </c>
      <c r="BE83" s="76">
        <f t="shared" si="243"/>
        <v>134.75</v>
      </c>
      <c r="BF83" s="76">
        <f t="shared" si="198"/>
        <v>215</v>
      </c>
      <c r="BG83" s="76">
        <f t="shared" si="199"/>
        <v>490</v>
      </c>
      <c r="BH83" s="76">
        <f t="shared" si="199"/>
        <v>352.5</v>
      </c>
      <c r="BI83" s="4">
        <v>10</v>
      </c>
      <c r="BJ83" s="76">
        <v>35</v>
      </c>
      <c r="BK83" s="76">
        <f t="shared" si="241"/>
        <v>70</v>
      </c>
      <c r="BL83" s="116">
        <f t="shared" si="223"/>
        <v>34.678095774481598</v>
      </c>
      <c r="BM83" s="4">
        <f t="shared" si="224"/>
        <v>0</v>
      </c>
      <c r="BN83" s="4">
        <f t="shared" si="248"/>
        <v>0</v>
      </c>
      <c r="BO83" s="4">
        <f t="shared" si="225"/>
        <v>0</v>
      </c>
      <c r="BP83" s="4">
        <f t="shared" si="249"/>
        <v>0</v>
      </c>
      <c r="BQ83" s="335">
        <f t="shared" si="255"/>
        <v>0</v>
      </c>
      <c r="BR83" s="335">
        <f t="shared" si="256"/>
        <v>0</v>
      </c>
      <c r="BS83" s="335">
        <f t="shared" si="257"/>
        <v>0</v>
      </c>
      <c r="BT83" s="335">
        <f t="shared" si="258"/>
        <v>0</v>
      </c>
      <c r="BU83" s="76">
        <f t="shared" si="259"/>
        <v>4527.6791457453455</v>
      </c>
      <c r="BV83" s="116" t="s">
        <v>77</v>
      </c>
      <c r="BW83" s="88" t="s">
        <v>77</v>
      </c>
      <c r="BX83" s="88" t="s">
        <v>77</v>
      </c>
      <c r="BY83" s="89" t="s">
        <v>77</v>
      </c>
      <c r="BZ83" s="88" t="s">
        <v>77</v>
      </c>
      <c r="CA83" s="88" t="s">
        <v>77</v>
      </c>
      <c r="CB83" s="89" t="s">
        <v>77</v>
      </c>
      <c r="CC83" s="88" t="s">
        <v>77</v>
      </c>
      <c r="CD83" s="88" t="s">
        <v>77</v>
      </c>
      <c r="CE83" s="89" t="s">
        <v>77</v>
      </c>
      <c r="CF83" s="88" t="s">
        <v>77</v>
      </c>
      <c r="CG83" s="88" t="s">
        <v>77</v>
      </c>
      <c r="CH83" s="89" t="s">
        <v>77</v>
      </c>
      <c r="CI83" s="42" t="s">
        <v>77</v>
      </c>
      <c r="CJ83" s="42" t="s">
        <v>77</v>
      </c>
      <c r="CK83" s="42" t="s">
        <v>77</v>
      </c>
      <c r="CL83" s="42" t="s">
        <v>77</v>
      </c>
      <c r="CM83" s="88" t="s">
        <v>77</v>
      </c>
      <c r="CN83" s="88" t="s">
        <v>77</v>
      </c>
      <c r="CO83" s="89" t="s">
        <v>77</v>
      </c>
      <c r="CP83" s="88" t="s">
        <v>77</v>
      </c>
      <c r="CQ83" s="88" t="s">
        <v>77</v>
      </c>
      <c r="CR83" s="89" t="s">
        <v>77</v>
      </c>
      <c r="CS83" s="88" t="s">
        <v>77</v>
      </c>
      <c r="CT83" s="88" t="s">
        <v>77</v>
      </c>
      <c r="CU83" s="89" t="s">
        <v>77</v>
      </c>
      <c r="CV83" s="88" t="s">
        <v>77</v>
      </c>
      <c r="CW83" s="88" t="s">
        <v>77</v>
      </c>
      <c r="CX83" s="89" t="s">
        <v>77</v>
      </c>
      <c r="CY83" s="299" t="s">
        <v>324</v>
      </c>
      <c r="CZ83" s="298" t="s">
        <v>77</v>
      </c>
      <c r="DA83" s="298" t="s">
        <v>57</v>
      </c>
      <c r="DB83" s="298" t="s">
        <v>77</v>
      </c>
      <c r="DC83" s="298" t="s">
        <v>56</v>
      </c>
      <c r="DD83" s="285" t="s">
        <v>231</v>
      </c>
      <c r="DE83" s="285" t="s">
        <v>276</v>
      </c>
      <c r="DF83" s="298" t="s">
        <v>57</v>
      </c>
      <c r="DG83" s="298" t="s">
        <v>57</v>
      </c>
      <c r="DH83" s="298" t="s">
        <v>57</v>
      </c>
      <c r="DI83" s="298" t="s">
        <v>57</v>
      </c>
      <c r="DJ83" s="280" t="s">
        <v>77</v>
      </c>
      <c r="DK83" s="280" t="s">
        <v>77</v>
      </c>
      <c r="DL83" s="280" t="s">
        <v>77</v>
      </c>
      <c r="DM83" s="280" t="s">
        <v>77</v>
      </c>
      <c r="DN83" s="280" t="s">
        <v>77</v>
      </c>
      <c r="DO83" s="279" t="s">
        <v>528</v>
      </c>
      <c r="DP83" s="280"/>
      <c r="DQ83" s="118"/>
      <c r="DR83" s="28"/>
      <c r="DS83" s="28"/>
      <c r="DT83" s="28"/>
      <c r="DU83" s="28"/>
      <c r="DV83" s="28"/>
      <c r="DW83" s="28"/>
      <c r="DX83" s="28"/>
      <c r="DY83" s="28"/>
    </row>
    <row r="84" spans="1:130" ht="244.5" customHeight="1" x14ac:dyDescent="0.2">
      <c r="A84" s="531"/>
      <c r="B84" s="287" t="s">
        <v>41</v>
      </c>
      <c r="C84" s="84"/>
      <c r="D84" s="241">
        <v>904</v>
      </c>
      <c r="E84" s="65" t="s">
        <v>446</v>
      </c>
      <c r="F84" s="11" t="s">
        <v>77</v>
      </c>
      <c r="G84" s="11" t="s">
        <v>77</v>
      </c>
      <c r="H84" s="11" t="s">
        <v>77</v>
      </c>
      <c r="I84" s="285" t="s">
        <v>497</v>
      </c>
      <c r="J84" s="69" t="s">
        <v>232</v>
      </c>
      <c r="K84" s="298"/>
      <c r="L84" s="6" t="s">
        <v>54</v>
      </c>
      <c r="M84" s="321" t="s">
        <v>77</v>
      </c>
      <c r="N84" s="321" t="s">
        <v>77</v>
      </c>
      <c r="O84" s="317">
        <v>1</v>
      </c>
      <c r="P84" s="316" t="s">
        <v>77</v>
      </c>
      <c r="Q84" s="3">
        <v>0</v>
      </c>
      <c r="R84" s="3">
        <v>0</v>
      </c>
      <c r="S84" s="4">
        <v>0</v>
      </c>
      <c r="T84" s="4">
        <v>0</v>
      </c>
      <c r="U84" s="4">
        <v>0</v>
      </c>
      <c r="V84" s="4">
        <v>0</v>
      </c>
      <c r="W84" s="51" t="s">
        <v>77</v>
      </c>
      <c r="X84" s="51" t="s">
        <v>77</v>
      </c>
      <c r="Y84" s="4">
        <v>0</v>
      </c>
      <c r="Z84" s="4">
        <v>0</v>
      </c>
      <c r="AA84" s="4">
        <f t="shared" si="217"/>
        <v>0</v>
      </c>
      <c r="AB84" s="4">
        <f t="shared" si="260"/>
        <v>0</v>
      </c>
      <c r="AC84" s="101">
        <f t="shared" si="261"/>
        <v>0</v>
      </c>
      <c r="AD84" s="4">
        <v>0</v>
      </c>
      <c r="AE84" s="4">
        <v>0</v>
      </c>
      <c r="AF84" s="4">
        <f t="shared" si="262"/>
        <v>0</v>
      </c>
      <c r="AG84" s="4">
        <f t="shared" si="263"/>
        <v>0</v>
      </c>
      <c r="AH84" s="76">
        <v>215</v>
      </c>
      <c r="AI84" s="76">
        <v>275</v>
      </c>
      <c r="AJ84" s="76">
        <f t="shared" si="188"/>
        <v>245</v>
      </c>
      <c r="AK84" s="76">
        <f t="shared" si="235"/>
        <v>215</v>
      </c>
      <c r="AL84" s="76">
        <f t="shared" si="236"/>
        <v>275</v>
      </c>
      <c r="AM84" s="76">
        <f t="shared" si="237"/>
        <v>245</v>
      </c>
      <c r="AN84" s="108">
        <v>0.3</v>
      </c>
      <c r="AO84" s="76">
        <v>0</v>
      </c>
      <c r="AP84" s="76">
        <f t="shared" si="253"/>
        <v>301</v>
      </c>
      <c r="AQ84" s="76">
        <f t="shared" si="254"/>
        <v>385</v>
      </c>
      <c r="AR84" s="76">
        <f t="shared" si="247"/>
        <v>343</v>
      </c>
      <c r="AS84" s="76">
        <v>135</v>
      </c>
      <c r="AT84" s="76">
        <v>330</v>
      </c>
      <c r="AU84" s="76">
        <f t="shared" si="193"/>
        <v>232.5</v>
      </c>
      <c r="AV84" s="76">
        <f t="shared" si="238"/>
        <v>135</v>
      </c>
      <c r="AW84" s="76">
        <f t="shared" si="239"/>
        <v>330</v>
      </c>
      <c r="AX84" s="76">
        <f t="shared" si="240"/>
        <v>232.5</v>
      </c>
      <c r="AY84" s="51">
        <v>0</v>
      </c>
      <c r="AZ84" s="51">
        <v>0.1</v>
      </c>
      <c r="BA84" s="51">
        <v>0</v>
      </c>
      <c r="BB84" s="338" t="s">
        <v>303</v>
      </c>
      <c r="BC84" s="76">
        <f t="shared" si="202"/>
        <v>331.1</v>
      </c>
      <c r="BD84" s="76">
        <f t="shared" si="203"/>
        <v>423.50000000000006</v>
      </c>
      <c r="BE84" s="76">
        <f t="shared" si="243"/>
        <v>377.3</v>
      </c>
      <c r="BF84" s="76">
        <f t="shared" si="198"/>
        <v>135</v>
      </c>
      <c r="BG84" s="76">
        <f t="shared" si="199"/>
        <v>330</v>
      </c>
      <c r="BH84" s="76">
        <f t="shared" si="199"/>
        <v>232.5</v>
      </c>
      <c r="BI84" s="4">
        <v>10</v>
      </c>
      <c r="BJ84" s="76">
        <v>95</v>
      </c>
      <c r="BK84" s="76">
        <f t="shared" si="241"/>
        <v>190</v>
      </c>
      <c r="BL84" s="116">
        <f t="shared" si="223"/>
        <v>94.126259959307191</v>
      </c>
      <c r="BM84" s="4">
        <f t="shared" si="224"/>
        <v>0</v>
      </c>
      <c r="BN84" s="4">
        <f t="shared" si="248"/>
        <v>0</v>
      </c>
      <c r="BO84" s="4">
        <f t="shared" si="225"/>
        <v>0</v>
      </c>
      <c r="BP84" s="4">
        <f t="shared" si="249"/>
        <v>0</v>
      </c>
      <c r="BQ84" s="335">
        <f t="shared" si="255"/>
        <v>0</v>
      </c>
      <c r="BR84" s="335">
        <f t="shared" si="256"/>
        <v>0</v>
      </c>
      <c r="BS84" s="335">
        <f t="shared" si="257"/>
        <v>0</v>
      </c>
      <c r="BT84" s="335">
        <f t="shared" si="258"/>
        <v>0</v>
      </c>
      <c r="BU84" s="76">
        <f t="shared" si="259"/>
        <v>3274.7639046405466</v>
      </c>
      <c r="BV84" s="193" t="s">
        <v>77</v>
      </c>
      <c r="BW84" s="78" t="s">
        <v>77</v>
      </c>
      <c r="BX84" s="78" t="s">
        <v>77</v>
      </c>
      <c r="BY84" s="78" t="s">
        <v>77</v>
      </c>
      <c r="BZ84" s="78" t="s">
        <v>77</v>
      </c>
      <c r="CA84" s="78" t="s">
        <v>77</v>
      </c>
      <c r="CB84" s="78" t="s">
        <v>77</v>
      </c>
      <c r="CC84" s="78" t="s">
        <v>77</v>
      </c>
      <c r="CD84" s="78" t="s">
        <v>77</v>
      </c>
      <c r="CE84" s="78" t="s">
        <v>77</v>
      </c>
      <c r="CF84" s="78" t="s">
        <v>77</v>
      </c>
      <c r="CG84" s="78" t="s">
        <v>77</v>
      </c>
      <c r="CH84" s="78" t="s">
        <v>77</v>
      </c>
      <c r="CI84" s="42" t="s">
        <v>77</v>
      </c>
      <c r="CJ84" s="42" t="s">
        <v>77</v>
      </c>
      <c r="CK84" s="42" t="s">
        <v>77</v>
      </c>
      <c r="CL84" s="42" t="s">
        <v>77</v>
      </c>
      <c r="CM84" s="78" t="s">
        <v>77</v>
      </c>
      <c r="CN84" s="78" t="s">
        <v>77</v>
      </c>
      <c r="CO84" s="78" t="s">
        <v>77</v>
      </c>
      <c r="CP84" s="78" t="s">
        <v>77</v>
      </c>
      <c r="CQ84" s="78" t="s">
        <v>77</v>
      </c>
      <c r="CR84" s="78" t="s">
        <v>77</v>
      </c>
      <c r="CS84" s="78" t="s">
        <v>77</v>
      </c>
      <c r="CT84" s="78" t="s">
        <v>77</v>
      </c>
      <c r="CU84" s="78" t="s">
        <v>77</v>
      </c>
      <c r="CV84" s="78" t="s">
        <v>77</v>
      </c>
      <c r="CW84" s="78" t="s">
        <v>77</v>
      </c>
      <c r="CX84" s="78" t="s">
        <v>77</v>
      </c>
      <c r="CY84" s="299" t="s">
        <v>324</v>
      </c>
      <c r="CZ84" s="298" t="s">
        <v>77</v>
      </c>
      <c r="DA84" s="298" t="s">
        <v>56</v>
      </c>
      <c r="DB84" s="298" t="s">
        <v>77</v>
      </c>
      <c r="DC84" s="298" t="s">
        <v>56</v>
      </c>
      <c r="DD84" s="285" t="s">
        <v>277</v>
      </c>
      <c r="DE84" s="285" t="s">
        <v>278</v>
      </c>
      <c r="DF84" s="298" t="s">
        <v>57</v>
      </c>
      <c r="DG84" s="298" t="s">
        <v>57</v>
      </c>
      <c r="DH84" s="298" t="s">
        <v>57</v>
      </c>
      <c r="DI84" s="298" t="s">
        <v>57</v>
      </c>
      <c r="DJ84" s="280" t="s">
        <v>77</v>
      </c>
      <c r="DK84" s="280" t="s">
        <v>77</v>
      </c>
      <c r="DL84" s="280" t="s">
        <v>77</v>
      </c>
      <c r="DM84" s="280" t="s">
        <v>77</v>
      </c>
      <c r="DN84" s="280" t="s">
        <v>77</v>
      </c>
      <c r="DO84" s="279" t="s">
        <v>527</v>
      </c>
      <c r="DP84" s="280"/>
      <c r="DQ84" s="118"/>
      <c r="DR84" s="28"/>
      <c r="DS84" s="28"/>
      <c r="DT84" s="28"/>
      <c r="DU84" s="28"/>
      <c r="DV84" s="28"/>
      <c r="DW84" s="28"/>
      <c r="DX84" s="28"/>
      <c r="DY84" s="28"/>
    </row>
    <row r="85" spans="1:130" ht="241.5" customHeight="1" x14ac:dyDescent="0.2">
      <c r="A85" s="531"/>
      <c r="B85" s="287" t="s">
        <v>42</v>
      </c>
      <c r="C85" s="84"/>
      <c r="D85" s="241">
        <v>905</v>
      </c>
      <c r="E85" s="65" t="s">
        <v>447</v>
      </c>
      <c r="F85" s="11" t="s">
        <v>77</v>
      </c>
      <c r="G85" s="11" t="s">
        <v>77</v>
      </c>
      <c r="H85" s="11" t="s">
        <v>77</v>
      </c>
      <c r="I85" s="285" t="s">
        <v>497</v>
      </c>
      <c r="J85" s="69" t="s">
        <v>233</v>
      </c>
      <c r="K85" s="298"/>
      <c r="L85" s="6" t="s">
        <v>54</v>
      </c>
      <c r="M85" s="321" t="s">
        <v>77</v>
      </c>
      <c r="N85" s="321" t="s">
        <v>77</v>
      </c>
      <c r="O85" s="317">
        <v>1</v>
      </c>
      <c r="P85" s="316" t="s">
        <v>77</v>
      </c>
      <c r="Q85" s="3">
        <v>0</v>
      </c>
      <c r="R85" s="3">
        <v>0</v>
      </c>
      <c r="S85" s="4">
        <v>0</v>
      </c>
      <c r="T85" s="4">
        <v>0</v>
      </c>
      <c r="U85" s="4">
        <v>0</v>
      </c>
      <c r="V85" s="4">
        <v>0</v>
      </c>
      <c r="W85" s="51" t="s">
        <v>77</v>
      </c>
      <c r="X85" s="51" t="s">
        <v>77</v>
      </c>
      <c r="Y85" s="4">
        <v>0</v>
      </c>
      <c r="Z85" s="4">
        <v>0</v>
      </c>
      <c r="AA85" s="4">
        <f t="shared" si="217"/>
        <v>0</v>
      </c>
      <c r="AB85" s="4">
        <f t="shared" si="260"/>
        <v>0</v>
      </c>
      <c r="AC85" s="101">
        <f t="shared" si="261"/>
        <v>0</v>
      </c>
      <c r="AD85" s="4">
        <v>0</v>
      </c>
      <c r="AE85" s="4">
        <v>0</v>
      </c>
      <c r="AF85" s="4">
        <f t="shared" si="262"/>
        <v>0</v>
      </c>
      <c r="AG85" s="4">
        <f t="shared" si="263"/>
        <v>0</v>
      </c>
      <c r="AH85" s="76">
        <v>80</v>
      </c>
      <c r="AI85" s="76">
        <v>120</v>
      </c>
      <c r="AJ85" s="76">
        <f t="shared" si="188"/>
        <v>100</v>
      </c>
      <c r="AK85" s="76">
        <f t="shared" si="235"/>
        <v>80</v>
      </c>
      <c r="AL85" s="76">
        <f t="shared" si="236"/>
        <v>120</v>
      </c>
      <c r="AM85" s="76">
        <f t="shared" si="237"/>
        <v>100</v>
      </c>
      <c r="AN85" s="108">
        <v>0.1</v>
      </c>
      <c r="AO85" s="76">
        <v>0</v>
      </c>
      <c r="AP85" s="76">
        <f t="shared" si="253"/>
        <v>112</v>
      </c>
      <c r="AQ85" s="76">
        <f t="shared" si="254"/>
        <v>168</v>
      </c>
      <c r="AR85" s="76">
        <f t="shared" si="247"/>
        <v>140</v>
      </c>
      <c r="AS85" s="76">
        <v>100</v>
      </c>
      <c r="AT85" s="76">
        <v>275</v>
      </c>
      <c r="AU85" s="76">
        <f t="shared" si="193"/>
        <v>187.5</v>
      </c>
      <c r="AV85" s="76">
        <f t="shared" si="238"/>
        <v>100</v>
      </c>
      <c r="AW85" s="76">
        <f t="shared" si="239"/>
        <v>275</v>
      </c>
      <c r="AX85" s="76">
        <f t="shared" si="240"/>
        <v>187.5</v>
      </c>
      <c r="AY85" s="51">
        <v>0</v>
      </c>
      <c r="AZ85" s="51">
        <v>0.1</v>
      </c>
      <c r="BA85" s="51">
        <v>0</v>
      </c>
      <c r="BB85" s="338" t="s">
        <v>303</v>
      </c>
      <c r="BC85" s="76">
        <f t="shared" si="202"/>
        <v>123.20000000000002</v>
      </c>
      <c r="BD85" s="76">
        <f t="shared" si="203"/>
        <v>184.8</v>
      </c>
      <c r="BE85" s="76">
        <f t="shared" si="243"/>
        <v>154</v>
      </c>
      <c r="BF85" s="76">
        <f t="shared" si="198"/>
        <v>100</v>
      </c>
      <c r="BG85" s="76">
        <f t="shared" si="199"/>
        <v>275</v>
      </c>
      <c r="BH85" s="76">
        <f t="shared" si="199"/>
        <v>187.5</v>
      </c>
      <c r="BI85" s="4">
        <v>10</v>
      </c>
      <c r="BJ85" s="76">
        <v>40</v>
      </c>
      <c r="BK85" s="76">
        <f t="shared" si="241"/>
        <v>80</v>
      </c>
      <c r="BL85" s="116">
        <f t="shared" si="223"/>
        <v>39.632109456550396</v>
      </c>
      <c r="BM85" s="4">
        <f t="shared" si="224"/>
        <v>0</v>
      </c>
      <c r="BN85" s="4">
        <f t="shared" si="248"/>
        <v>0</v>
      </c>
      <c r="BO85" s="4">
        <f t="shared" si="225"/>
        <v>0</v>
      </c>
      <c r="BP85" s="4">
        <f t="shared" si="249"/>
        <v>0</v>
      </c>
      <c r="BQ85" s="335">
        <f t="shared" si="255"/>
        <v>0</v>
      </c>
      <c r="BR85" s="335">
        <f t="shared" si="256"/>
        <v>0</v>
      </c>
      <c r="BS85" s="335">
        <f t="shared" si="257"/>
        <v>0</v>
      </c>
      <c r="BT85" s="335">
        <f t="shared" si="258"/>
        <v>0</v>
      </c>
      <c r="BU85" s="76">
        <f t="shared" si="259"/>
        <v>2490.6644392262474</v>
      </c>
      <c r="BV85" s="193" t="s">
        <v>77</v>
      </c>
      <c r="BW85" s="78" t="s">
        <v>77</v>
      </c>
      <c r="BX85" s="78" t="s">
        <v>77</v>
      </c>
      <c r="BY85" s="78" t="s">
        <v>77</v>
      </c>
      <c r="BZ85" s="78" t="s">
        <v>77</v>
      </c>
      <c r="CA85" s="78" t="s">
        <v>77</v>
      </c>
      <c r="CB85" s="78" t="s">
        <v>77</v>
      </c>
      <c r="CC85" s="78" t="s">
        <v>77</v>
      </c>
      <c r="CD85" s="78" t="s">
        <v>77</v>
      </c>
      <c r="CE85" s="78" t="s">
        <v>77</v>
      </c>
      <c r="CF85" s="78" t="s">
        <v>77</v>
      </c>
      <c r="CG85" s="78" t="s">
        <v>77</v>
      </c>
      <c r="CH85" s="78" t="s">
        <v>77</v>
      </c>
      <c r="CI85" s="42" t="s">
        <v>77</v>
      </c>
      <c r="CJ85" s="42" t="s">
        <v>77</v>
      </c>
      <c r="CK85" s="42" t="s">
        <v>77</v>
      </c>
      <c r="CL85" s="42" t="s">
        <v>77</v>
      </c>
      <c r="CM85" s="78" t="s">
        <v>77</v>
      </c>
      <c r="CN85" s="78" t="s">
        <v>77</v>
      </c>
      <c r="CO85" s="78" t="s">
        <v>77</v>
      </c>
      <c r="CP85" s="78" t="s">
        <v>77</v>
      </c>
      <c r="CQ85" s="78" t="s">
        <v>77</v>
      </c>
      <c r="CR85" s="78" t="s">
        <v>77</v>
      </c>
      <c r="CS85" s="78" t="s">
        <v>77</v>
      </c>
      <c r="CT85" s="78" t="s">
        <v>77</v>
      </c>
      <c r="CU85" s="78" t="s">
        <v>77</v>
      </c>
      <c r="CV85" s="78" t="s">
        <v>77</v>
      </c>
      <c r="CW85" s="78" t="s">
        <v>77</v>
      </c>
      <c r="CX85" s="78" t="s">
        <v>77</v>
      </c>
      <c r="CY85" s="299" t="s">
        <v>324</v>
      </c>
      <c r="CZ85" s="298" t="s">
        <v>77</v>
      </c>
      <c r="DA85" s="298" t="s">
        <v>57</v>
      </c>
      <c r="DB85" s="298" t="s">
        <v>77</v>
      </c>
      <c r="DC85" s="298" t="s">
        <v>56</v>
      </c>
      <c r="DD85" s="285" t="s">
        <v>279</v>
      </c>
      <c r="DE85" s="285" t="s">
        <v>280</v>
      </c>
      <c r="DF85" s="298" t="s">
        <v>57</v>
      </c>
      <c r="DG85" s="298" t="s">
        <v>57</v>
      </c>
      <c r="DH85" s="298" t="s">
        <v>57</v>
      </c>
      <c r="DI85" s="298" t="s">
        <v>57</v>
      </c>
      <c r="DJ85" s="280" t="s">
        <v>77</v>
      </c>
      <c r="DK85" s="280" t="s">
        <v>77</v>
      </c>
      <c r="DL85" s="280" t="s">
        <v>77</v>
      </c>
      <c r="DM85" s="280" t="s">
        <v>77</v>
      </c>
      <c r="DN85" s="280" t="s">
        <v>77</v>
      </c>
      <c r="DO85" s="279" t="s">
        <v>524</v>
      </c>
      <c r="DP85" s="280"/>
      <c r="DQ85" s="118"/>
      <c r="DR85" s="28"/>
      <c r="DS85" s="28"/>
      <c r="DT85" s="28"/>
      <c r="DU85" s="28"/>
      <c r="DV85" s="28"/>
      <c r="DW85" s="28"/>
      <c r="DX85" s="28"/>
      <c r="DY85" s="28"/>
    </row>
    <row r="86" spans="1:130" ht="280.5" customHeight="1" x14ac:dyDescent="0.2">
      <c r="A86" s="531"/>
      <c r="B86" s="519" t="s">
        <v>43</v>
      </c>
      <c r="C86" s="84"/>
      <c r="D86" s="241">
        <v>906</v>
      </c>
      <c r="E86" s="65" t="s">
        <v>448</v>
      </c>
      <c r="F86" s="11" t="s">
        <v>77</v>
      </c>
      <c r="G86" s="11" t="s">
        <v>77</v>
      </c>
      <c r="H86" s="11" t="s">
        <v>77</v>
      </c>
      <c r="I86" s="285" t="s">
        <v>497</v>
      </c>
      <c r="J86" s="70" t="s">
        <v>567</v>
      </c>
      <c r="K86" s="298"/>
      <c r="L86" s="6" t="s">
        <v>54</v>
      </c>
      <c r="M86" s="321" t="s">
        <v>77</v>
      </c>
      <c r="N86" s="321" t="s">
        <v>77</v>
      </c>
      <c r="O86" s="317">
        <v>1</v>
      </c>
      <c r="P86" s="316" t="s">
        <v>77</v>
      </c>
      <c r="Q86" s="3">
        <v>0</v>
      </c>
      <c r="R86" s="3">
        <v>0</v>
      </c>
      <c r="S86" s="4">
        <v>0</v>
      </c>
      <c r="T86" s="4">
        <v>0</v>
      </c>
      <c r="U86" s="4">
        <v>0</v>
      </c>
      <c r="V86" s="4">
        <v>0</v>
      </c>
      <c r="W86" s="51" t="s">
        <v>77</v>
      </c>
      <c r="X86" s="51" t="s">
        <v>77</v>
      </c>
      <c r="Y86" s="4">
        <v>0</v>
      </c>
      <c r="Z86" s="4">
        <v>0</v>
      </c>
      <c r="AA86" s="4">
        <f t="shared" si="217"/>
        <v>0</v>
      </c>
      <c r="AB86" s="4">
        <f t="shared" si="260"/>
        <v>0</v>
      </c>
      <c r="AC86" s="101">
        <f t="shared" si="261"/>
        <v>0</v>
      </c>
      <c r="AD86" s="4">
        <v>0</v>
      </c>
      <c r="AE86" s="4">
        <v>0</v>
      </c>
      <c r="AF86" s="4">
        <f t="shared" si="262"/>
        <v>0</v>
      </c>
      <c r="AG86" s="4">
        <f t="shared" si="263"/>
        <v>0</v>
      </c>
      <c r="AH86" s="76">
        <v>55</v>
      </c>
      <c r="AI86" s="76">
        <v>130</v>
      </c>
      <c r="AJ86" s="76">
        <f t="shared" si="188"/>
        <v>92.5</v>
      </c>
      <c r="AK86" s="76">
        <f t="shared" si="235"/>
        <v>55</v>
      </c>
      <c r="AL86" s="76">
        <f t="shared" si="236"/>
        <v>130</v>
      </c>
      <c r="AM86" s="76">
        <f t="shared" si="237"/>
        <v>92.5</v>
      </c>
      <c r="AN86" s="108">
        <v>0.1</v>
      </c>
      <c r="AO86" s="76">
        <v>0</v>
      </c>
      <c r="AP86" s="76">
        <f t="shared" si="253"/>
        <v>77</v>
      </c>
      <c r="AQ86" s="76">
        <f t="shared" si="254"/>
        <v>182</v>
      </c>
      <c r="AR86" s="76">
        <f t="shared" si="247"/>
        <v>129.5</v>
      </c>
      <c r="AS86" s="76">
        <v>100</v>
      </c>
      <c r="AT86" s="76">
        <v>200</v>
      </c>
      <c r="AU86" s="76">
        <f t="shared" si="193"/>
        <v>150</v>
      </c>
      <c r="AV86" s="76">
        <f t="shared" si="238"/>
        <v>100</v>
      </c>
      <c r="AW86" s="76">
        <f t="shared" si="239"/>
        <v>200</v>
      </c>
      <c r="AX86" s="76">
        <f t="shared" si="240"/>
        <v>150</v>
      </c>
      <c r="AY86" s="51">
        <v>0</v>
      </c>
      <c r="AZ86" s="51">
        <v>0.1</v>
      </c>
      <c r="BA86" s="51">
        <v>0</v>
      </c>
      <c r="BB86" s="338" t="s">
        <v>303</v>
      </c>
      <c r="BC86" s="76">
        <f t="shared" si="202"/>
        <v>84.7</v>
      </c>
      <c r="BD86" s="76">
        <f t="shared" si="203"/>
        <v>200.20000000000002</v>
      </c>
      <c r="BE86" s="76">
        <f t="shared" si="243"/>
        <v>142.45000000000002</v>
      </c>
      <c r="BF86" s="76">
        <f t="shared" si="198"/>
        <v>100</v>
      </c>
      <c r="BG86" s="76">
        <f t="shared" si="199"/>
        <v>200</v>
      </c>
      <c r="BH86" s="76">
        <f t="shared" si="199"/>
        <v>150</v>
      </c>
      <c r="BI86" s="4">
        <v>10</v>
      </c>
      <c r="BJ86" s="76">
        <v>40</v>
      </c>
      <c r="BK86" s="76">
        <f t="shared" si="241"/>
        <v>80</v>
      </c>
      <c r="BL86" s="116">
        <f t="shared" si="223"/>
        <v>39.632109456550396</v>
      </c>
      <c r="BM86" s="4">
        <f t="shared" si="224"/>
        <v>0</v>
      </c>
      <c r="BN86" s="4">
        <f t="shared" si="248"/>
        <v>0</v>
      </c>
      <c r="BO86" s="4">
        <f t="shared" si="225"/>
        <v>0</v>
      </c>
      <c r="BP86" s="4">
        <f t="shared" si="249"/>
        <v>0</v>
      </c>
      <c r="BQ86" s="335">
        <f t="shared" si="255"/>
        <v>0</v>
      </c>
      <c r="BR86" s="335">
        <f t="shared" si="256"/>
        <v>0</v>
      </c>
      <c r="BS86" s="335">
        <f t="shared" si="257"/>
        <v>0</v>
      </c>
      <c r="BT86" s="335">
        <f t="shared" si="258"/>
        <v>0</v>
      </c>
      <c r="BU86" s="76">
        <f t="shared" si="259"/>
        <v>2011.7815513809981</v>
      </c>
      <c r="BV86" s="193" t="s">
        <v>77</v>
      </c>
      <c r="BW86" s="78" t="s">
        <v>77</v>
      </c>
      <c r="BX86" s="78" t="s">
        <v>77</v>
      </c>
      <c r="BY86" s="78" t="s">
        <v>77</v>
      </c>
      <c r="BZ86" s="78" t="s">
        <v>77</v>
      </c>
      <c r="CA86" s="78" t="s">
        <v>77</v>
      </c>
      <c r="CB86" s="78" t="s">
        <v>77</v>
      </c>
      <c r="CC86" s="78" t="s">
        <v>77</v>
      </c>
      <c r="CD86" s="78" t="s">
        <v>77</v>
      </c>
      <c r="CE86" s="78" t="s">
        <v>77</v>
      </c>
      <c r="CF86" s="78" t="s">
        <v>77</v>
      </c>
      <c r="CG86" s="78" t="s">
        <v>77</v>
      </c>
      <c r="CH86" s="78" t="s">
        <v>77</v>
      </c>
      <c r="CI86" s="42" t="s">
        <v>77</v>
      </c>
      <c r="CJ86" s="42" t="s">
        <v>77</v>
      </c>
      <c r="CK86" s="42" t="s">
        <v>77</v>
      </c>
      <c r="CL86" s="42" t="s">
        <v>77</v>
      </c>
      <c r="CM86" s="78" t="s">
        <v>77</v>
      </c>
      <c r="CN86" s="78" t="s">
        <v>77</v>
      </c>
      <c r="CO86" s="78" t="s">
        <v>77</v>
      </c>
      <c r="CP86" s="78" t="s">
        <v>77</v>
      </c>
      <c r="CQ86" s="78" t="s">
        <v>77</v>
      </c>
      <c r="CR86" s="78" t="s">
        <v>77</v>
      </c>
      <c r="CS86" s="78" t="s">
        <v>77</v>
      </c>
      <c r="CT86" s="78" t="s">
        <v>77</v>
      </c>
      <c r="CU86" s="78" t="s">
        <v>77</v>
      </c>
      <c r="CV86" s="78" t="s">
        <v>77</v>
      </c>
      <c r="CW86" s="78" t="s">
        <v>77</v>
      </c>
      <c r="CX86" s="78" t="s">
        <v>77</v>
      </c>
      <c r="CY86" s="299" t="s">
        <v>324</v>
      </c>
      <c r="CZ86" s="298" t="s">
        <v>77</v>
      </c>
      <c r="DA86" s="298" t="s">
        <v>56</v>
      </c>
      <c r="DB86" s="298" t="s">
        <v>77</v>
      </c>
      <c r="DC86" s="298" t="s">
        <v>56</v>
      </c>
      <c r="DD86" s="279" t="s">
        <v>281</v>
      </c>
      <c r="DE86" s="279" t="s">
        <v>493</v>
      </c>
      <c r="DF86" s="298" t="s">
        <v>57</v>
      </c>
      <c r="DG86" s="298" t="s">
        <v>57</v>
      </c>
      <c r="DH86" s="298" t="s">
        <v>57</v>
      </c>
      <c r="DI86" s="298" t="s">
        <v>57</v>
      </c>
      <c r="DJ86" s="280" t="s">
        <v>77</v>
      </c>
      <c r="DK86" s="280" t="s">
        <v>77</v>
      </c>
      <c r="DL86" s="280" t="s">
        <v>77</v>
      </c>
      <c r="DM86" s="280" t="s">
        <v>77</v>
      </c>
      <c r="DN86" s="280" t="s">
        <v>77</v>
      </c>
      <c r="DO86" s="279" t="s">
        <v>525</v>
      </c>
      <c r="DP86" s="280"/>
      <c r="DQ86" s="118"/>
      <c r="DR86" s="28"/>
      <c r="DS86" s="28"/>
      <c r="DT86" s="28"/>
      <c r="DU86" s="28"/>
      <c r="DV86" s="28"/>
      <c r="DW86" s="28"/>
      <c r="DX86" s="28"/>
      <c r="DY86" s="28"/>
    </row>
    <row r="87" spans="1:130" ht="316.5" customHeight="1" x14ac:dyDescent="0.2">
      <c r="A87" s="531"/>
      <c r="B87" s="519"/>
      <c r="C87" s="84"/>
      <c r="D87" s="241">
        <v>907</v>
      </c>
      <c r="E87" s="65" t="s">
        <v>449</v>
      </c>
      <c r="F87" s="11" t="s">
        <v>77</v>
      </c>
      <c r="G87" s="11" t="s">
        <v>77</v>
      </c>
      <c r="H87" s="11" t="s">
        <v>77</v>
      </c>
      <c r="I87" s="285" t="s">
        <v>497</v>
      </c>
      <c r="J87" s="70" t="s">
        <v>234</v>
      </c>
      <c r="K87" s="298"/>
      <c r="L87" s="6" t="s">
        <v>54</v>
      </c>
      <c r="M87" s="321" t="s">
        <v>77</v>
      </c>
      <c r="N87" s="321" t="s">
        <v>77</v>
      </c>
      <c r="O87" s="317">
        <v>1</v>
      </c>
      <c r="P87" s="316" t="s">
        <v>77</v>
      </c>
      <c r="Q87" s="3">
        <v>0</v>
      </c>
      <c r="R87" s="3">
        <v>0</v>
      </c>
      <c r="S87" s="4">
        <v>0</v>
      </c>
      <c r="T87" s="4">
        <v>0</v>
      </c>
      <c r="U87" s="4">
        <v>0</v>
      </c>
      <c r="V87" s="4">
        <v>0</v>
      </c>
      <c r="W87" s="51" t="s">
        <v>77</v>
      </c>
      <c r="X87" s="51" t="s">
        <v>77</v>
      </c>
      <c r="Y87" s="4">
        <v>0</v>
      </c>
      <c r="Z87" s="4">
        <v>0</v>
      </c>
      <c r="AA87" s="4">
        <f t="shared" si="217"/>
        <v>0</v>
      </c>
      <c r="AB87" s="4">
        <f t="shared" si="260"/>
        <v>0</v>
      </c>
      <c r="AC87" s="101">
        <f t="shared" si="261"/>
        <v>0</v>
      </c>
      <c r="AD87" s="4">
        <v>0</v>
      </c>
      <c r="AE87" s="4">
        <v>0</v>
      </c>
      <c r="AF87" s="4">
        <f t="shared" si="262"/>
        <v>0</v>
      </c>
      <c r="AG87" s="4">
        <f t="shared" si="263"/>
        <v>0</v>
      </c>
      <c r="AH87" s="76">
        <v>70</v>
      </c>
      <c r="AI87" s="76">
        <v>150</v>
      </c>
      <c r="AJ87" s="76">
        <f t="shared" si="188"/>
        <v>110</v>
      </c>
      <c r="AK87" s="76">
        <f t="shared" si="235"/>
        <v>70</v>
      </c>
      <c r="AL87" s="76">
        <f t="shared" si="236"/>
        <v>150</v>
      </c>
      <c r="AM87" s="76">
        <f t="shared" si="237"/>
        <v>110</v>
      </c>
      <c r="AN87" s="108">
        <v>0.2</v>
      </c>
      <c r="AO87" s="76">
        <v>0</v>
      </c>
      <c r="AP87" s="76">
        <f t="shared" si="253"/>
        <v>98</v>
      </c>
      <c r="AQ87" s="76">
        <f t="shared" si="254"/>
        <v>210</v>
      </c>
      <c r="AR87" s="76">
        <f t="shared" si="247"/>
        <v>154</v>
      </c>
      <c r="AS87" s="76">
        <v>9</v>
      </c>
      <c r="AT87" s="76">
        <v>52</v>
      </c>
      <c r="AU87" s="76">
        <f t="shared" si="193"/>
        <v>30.5</v>
      </c>
      <c r="AV87" s="76">
        <f t="shared" si="238"/>
        <v>9</v>
      </c>
      <c r="AW87" s="76">
        <f t="shared" si="239"/>
        <v>52</v>
      </c>
      <c r="AX87" s="76">
        <f t="shared" si="240"/>
        <v>30.5</v>
      </c>
      <c r="AY87" s="51">
        <v>0</v>
      </c>
      <c r="AZ87" s="51">
        <v>0.1</v>
      </c>
      <c r="BA87" s="51">
        <v>0</v>
      </c>
      <c r="BB87" s="338" t="s">
        <v>303</v>
      </c>
      <c r="BC87" s="76">
        <f t="shared" si="202"/>
        <v>107.80000000000001</v>
      </c>
      <c r="BD87" s="76">
        <f t="shared" si="203"/>
        <v>231.00000000000003</v>
      </c>
      <c r="BE87" s="76">
        <f t="shared" si="243"/>
        <v>169.4</v>
      </c>
      <c r="BF87" s="76">
        <f t="shared" si="198"/>
        <v>9</v>
      </c>
      <c r="BG87" s="76">
        <f t="shared" si="199"/>
        <v>52</v>
      </c>
      <c r="BH87" s="76">
        <f t="shared" si="199"/>
        <v>30.5</v>
      </c>
      <c r="BI87" s="4">
        <v>10</v>
      </c>
      <c r="BJ87" s="76">
        <v>50</v>
      </c>
      <c r="BK87" s="76">
        <f t="shared" si="241"/>
        <v>100</v>
      </c>
      <c r="BL87" s="116">
        <f t="shared" si="223"/>
        <v>49.540136820687998</v>
      </c>
      <c r="BM87" s="4">
        <f t="shared" si="224"/>
        <v>0</v>
      </c>
      <c r="BN87" s="4">
        <f t="shared" si="248"/>
        <v>0</v>
      </c>
      <c r="BO87" s="4">
        <f t="shared" si="225"/>
        <v>0</v>
      </c>
      <c r="BP87" s="4">
        <f t="shared" si="249"/>
        <v>0</v>
      </c>
      <c r="BQ87" s="335">
        <f t="shared" si="255"/>
        <v>0</v>
      </c>
      <c r="BR87" s="335">
        <f t="shared" si="256"/>
        <v>0</v>
      </c>
      <c r="BS87" s="335">
        <f t="shared" si="257"/>
        <v>0</v>
      </c>
      <c r="BT87" s="335">
        <f t="shared" si="258"/>
        <v>0</v>
      </c>
      <c r="BU87" s="76">
        <f t="shared" si="259"/>
        <v>549.49741544746962</v>
      </c>
      <c r="BV87" s="193" t="s">
        <v>77</v>
      </c>
      <c r="BW87" s="78" t="s">
        <v>77</v>
      </c>
      <c r="BX87" s="78" t="s">
        <v>77</v>
      </c>
      <c r="BY87" s="78" t="s">
        <v>77</v>
      </c>
      <c r="BZ87" s="78" t="s">
        <v>77</v>
      </c>
      <c r="CA87" s="78" t="s">
        <v>77</v>
      </c>
      <c r="CB87" s="78" t="s">
        <v>77</v>
      </c>
      <c r="CC87" s="78" t="s">
        <v>77</v>
      </c>
      <c r="CD87" s="78" t="s">
        <v>77</v>
      </c>
      <c r="CE87" s="78" t="s">
        <v>77</v>
      </c>
      <c r="CF87" s="78" t="s">
        <v>77</v>
      </c>
      <c r="CG87" s="78" t="s">
        <v>77</v>
      </c>
      <c r="CH87" s="78" t="s">
        <v>77</v>
      </c>
      <c r="CI87" s="42" t="s">
        <v>77</v>
      </c>
      <c r="CJ87" s="42" t="s">
        <v>77</v>
      </c>
      <c r="CK87" s="42" t="s">
        <v>77</v>
      </c>
      <c r="CL87" s="42" t="s">
        <v>77</v>
      </c>
      <c r="CM87" s="78" t="s">
        <v>77</v>
      </c>
      <c r="CN87" s="78" t="s">
        <v>77</v>
      </c>
      <c r="CO87" s="78" t="s">
        <v>77</v>
      </c>
      <c r="CP87" s="78" t="s">
        <v>77</v>
      </c>
      <c r="CQ87" s="78" t="s">
        <v>77</v>
      </c>
      <c r="CR87" s="78" t="s">
        <v>77</v>
      </c>
      <c r="CS87" s="78" t="s">
        <v>77</v>
      </c>
      <c r="CT87" s="78" t="s">
        <v>77</v>
      </c>
      <c r="CU87" s="78" t="s">
        <v>77</v>
      </c>
      <c r="CV87" s="78" t="s">
        <v>77</v>
      </c>
      <c r="CW87" s="78" t="s">
        <v>77</v>
      </c>
      <c r="CX87" s="78" t="s">
        <v>77</v>
      </c>
      <c r="CY87" s="299" t="s">
        <v>324</v>
      </c>
      <c r="CZ87" s="298" t="s">
        <v>77</v>
      </c>
      <c r="DA87" s="298" t="s">
        <v>56</v>
      </c>
      <c r="DB87" s="298" t="s">
        <v>77</v>
      </c>
      <c r="DC87" s="298" t="s">
        <v>56</v>
      </c>
      <c r="DD87" s="279" t="s">
        <v>318</v>
      </c>
      <c r="DE87" s="279" t="s">
        <v>494</v>
      </c>
      <c r="DF87" s="298" t="s">
        <v>57</v>
      </c>
      <c r="DG87" s="298" t="s">
        <v>57</v>
      </c>
      <c r="DH87" s="298" t="s">
        <v>57</v>
      </c>
      <c r="DI87" s="298" t="s">
        <v>57</v>
      </c>
      <c r="DJ87" s="280" t="s">
        <v>77</v>
      </c>
      <c r="DK87" s="280" t="s">
        <v>77</v>
      </c>
      <c r="DL87" s="280" t="s">
        <v>77</v>
      </c>
      <c r="DM87" s="280" t="s">
        <v>77</v>
      </c>
      <c r="DN87" s="280" t="s">
        <v>77</v>
      </c>
      <c r="DO87" s="279" t="s">
        <v>495</v>
      </c>
      <c r="DP87" s="280"/>
      <c r="DQ87" s="118"/>
      <c r="DR87" s="28"/>
      <c r="DS87" s="28"/>
      <c r="DT87" s="28"/>
      <c r="DU87" s="28"/>
      <c r="DV87" s="28"/>
      <c r="DW87" s="28"/>
      <c r="DX87" s="28"/>
      <c r="DY87" s="28"/>
    </row>
    <row r="88" spans="1:130" ht="409.5" customHeight="1" x14ac:dyDescent="0.2">
      <c r="A88" s="531"/>
      <c r="B88" s="287" t="s">
        <v>52</v>
      </c>
      <c r="C88" s="84"/>
      <c r="D88" s="241">
        <v>908</v>
      </c>
      <c r="E88" s="65" t="s">
        <v>450</v>
      </c>
      <c r="F88" s="11" t="s">
        <v>77</v>
      </c>
      <c r="G88" s="11" t="s">
        <v>77</v>
      </c>
      <c r="H88" s="11" t="s">
        <v>77</v>
      </c>
      <c r="I88" s="285" t="s">
        <v>497</v>
      </c>
      <c r="J88" s="70" t="s">
        <v>496</v>
      </c>
      <c r="K88" s="298"/>
      <c r="L88" s="6" t="s">
        <v>54</v>
      </c>
      <c r="M88" s="321" t="s">
        <v>77</v>
      </c>
      <c r="N88" s="325">
        <v>0</v>
      </c>
      <c r="O88" s="317">
        <v>1</v>
      </c>
      <c r="P88" s="316" t="s">
        <v>77</v>
      </c>
      <c r="Q88" s="3">
        <v>0</v>
      </c>
      <c r="R88" s="3">
        <v>0</v>
      </c>
      <c r="S88" s="4">
        <v>0</v>
      </c>
      <c r="T88" s="4">
        <v>0</v>
      </c>
      <c r="U88" s="4">
        <v>0</v>
      </c>
      <c r="V88" s="4">
        <v>0</v>
      </c>
      <c r="W88" s="51" t="s">
        <v>77</v>
      </c>
      <c r="X88" s="51" t="s">
        <v>77</v>
      </c>
      <c r="Y88" s="305">
        <v>0</v>
      </c>
      <c r="Z88" s="305">
        <v>0</v>
      </c>
      <c r="AA88" s="305">
        <f t="shared" si="217"/>
        <v>0</v>
      </c>
      <c r="AB88" s="305">
        <f t="shared" si="260"/>
        <v>0</v>
      </c>
      <c r="AC88" s="151">
        <f t="shared" si="261"/>
        <v>0</v>
      </c>
      <c r="AD88" s="305">
        <v>0</v>
      </c>
      <c r="AE88" s="305">
        <v>0</v>
      </c>
      <c r="AF88" s="305">
        <f t="shared" si="262"/>
        <v>0</v>
      </c>
      <c r="AG88" s="305">
        <f t="shared" si="263"/>
        <v>0</v>
      </c>
      <c r="AH88" s="76">
        <v>125</v>
      </c>
      <c r="AI88" s="76">
        <v>200</v>
      </c>
      <c r="AJ88" s="76">
        <f t="shared" si="188"/>
        <v>162.5</v>
      </c>
      <c r="AK88" s="307">
        <f t="shared" si="235"/>
        <v>125</v>
      </c>
      <c r="AL88" s="307">
        <f t="shared" si="236"/>
        <v>200</v>
      </c>
      <c r="AM88" s="307">
        <f t="shared" si="237"/>
        <v>162.5</v>
      </c>
      <c r="AN88" s="108">
        <v>0.2</v>
      </c>
      <c r="AO88" s="76">
        <v>0</v>
      </c>
      <c r="AP88" s="76">
        <f t="shared" si="253"/>
        <v>175</v>
      </c>
      <c r="AQ88" s="76">
        <f t="shared" si="254"/>
        <v>280</v>
      </c>
      <c r="AR88" s="76">
        <f t="shared" si="247"/>
        <v>227.5</v>
      </c>
      <c r="AS88" s="76">
        <v>205</v>
      </c>
      <c r="AT88" s="76">
        <v>510</v>
      </c>
      <c r="AU88" s="76">
        <f t="shared" si="193"/>
        <v>357.5</v>
      </c>
      <c r="AV88" s="307">
        <f t="shared" si="238"/>
        <v>205</v>
      </c>
      <c r="AW88" s="307">
        <f t="shared" si="239"/>
        <v>510</v>
      </c>
      <c r="AX88" s="307">
        <f t="shared" si="240"/>
        <v>357.5</v>
      </c>
      <c r="AY88" s="51">
        <v>0</v>
      </c>
      <c r="AZ88" s="51">
        <v>0.1</v>
      </c>
      <c r="BA88" s="51">
        <v>0</v>
      </c>
      <c r="BB88" s="338" t="s">
        <v>303</v>
      </c>
      <c r="BC88" s="76">
        <f t="shared" si="202"/>
        <v>192.50000000000003</v>
      </c>
      <c r="BD88" s="76">
        <f t="shared" si="203"/>
        <v>308</v>
      </c>
      <c r="BE88" s="307">
        <f t="shared" si="243"/>
        <v>250.25000000000003</v>
      </c>
      <c r="BF88" s="76">
        <f t="shared" si="198"/>
        <v>205</v>
      </c>
      <c r="BG88" s="76">
        <f t="shared" si="199"/>
        <v>510</v>
      </c>
      <c r="BH88" s="307">
        <f t="shared" si="199"/>
        <v>357.5</v>
      </c>
      <c r="BI88" s="4">
        <v>10</v>
      </c>
      <c r="BJ88" s="76">
        <v>65</v>
      </c>
      <c r="BK88" s="307">
        <f t="shared" si="241"/>
        <v>130</v>
      </c>
      <c r="BL88" s="116">
        <f t="shared" si="223"/>
        <v>64.402177866894405</v>
      </c>
      <c r="BM88" s="4">
        <f t="shared" si="224"/>
        <v>0</v>
      </c>
      <c r="BN88" s="4">
        <f t="shared" si="248"/>
        <v>0</v>
      </c>
      <c r="BO88" s="4">
        <f t="shared" si="225"/>
        <v>0</v>
      </c>
      <c r="BP88" s="4">
        <f t="shared" si="249"/>
        <v>0</v>
      </c>
      <c r="BQ88" s="335">
        <f t="shared" si="255"/>
        <v>0</v>
      </c>
      <c r="BR88" s="335">
        <f t="shared" si="256"/>
        <v>0</v>
      </c>
      <c r="BS88" s="335">
        <f t="shared" si="257"/>
        <v>0</v>
      </c>
      <c r="BT88" s="335">
        <f t="shared" si="258"/>
        <v>0</v>
      </c>
      <c r="BU88" s="76">
        <f t="shared" si="259"/>
        <v>4705.4901974580453</v>
      </c>
      <c r="BV88" s="193" t="s">
        <v>77</v>
      </c>
      <c r="BW88" s="78" t="s">
        <v>77</v>
      </c>
      <c r="BX88" s="78" t="s">
        <v>77</v>
      </c>
      <c r="BY88" s="78" t="s">
        <v>77</v>
      </c>
      <c r="BZ88" s="78" t="s">
        <v>77</v>
      </c>
      <c r="CA88" s="78" t="s">
        <v>77</v>
      </c>
      <c r="CB88" s="78" t="s">
        <v>77</v>
      </c>
      <c r="CC88" s="78" t="s">
        <v>77</v>
      </c>
      <c r="CD88" s="78" t="s">
        <v>77</v>
      </c>
      <c r="CE88" s="78" t="s">
        <v>77</v>
      </c>
      <c r="CF88" s="78" t="s">
        <v>77</v>
      </c>
      <c r="CG88" s="78" t="s">
        <v>77</v>
      </c>
      <c r="CH88" s="78" t="s">
        <v>77</v>
      </c>
      <c r="CI88" s="42" t="s">
        <v>77</v>
      </c>
      <c r="CJ88" s="42" t="s">
        <v>77</v>
      </c>
      <c r="CK88" s="42" t="s">
        <v>77</v>
      </c>
      <c r="CL88" s="42" t="s">
        <v>77</v>
      </c>
      <c r="CM88" s="78" t="s">
        <v>77</v>
      </c>
      <c r="CN88" s="78" t="s">
        <v>77</v>
      </c>
      <c r="CO88" s="78" t="s">
        <v>77</v>
      </c>
      <c r="CP88" s="78" t="s">
        <v>77</v>
      </c>
      <c r="CQ88" s="78" t="s">
        <v>77</v>
      </c>
      <c r="CR88" s="78" t="s">
        <v>77</v>
      </c>
      <c r="CS88" s="78" t="s">
        <v>77</v>
      </c>
      <c r="CT88" s="78" t="s">
        <v>77</v>
      </c>
      <c r="CU88" s="78" t="s">
        <v>77</v>
      </c>
      <c r="CV88" s="78" t="s">
        <v>77</v>
      </c>
      <c r="CW88" s="78" t="s">
        <v>77</v>
      </c>
      <c r="CX88" s="78" t="s">
        <v>77</v>
      </c>
      <c r="CY88" s="299" t="s">
        <v>324</v>
      </c>
      <c r="CZ88" s="298" t="s">
        <v>77</v>
      </c>
      <c r="DA88" s="298" t="s">
        <v>56</v>
      </c>
      <c r="DB88" s="298" t="s">
        <v>77</v>
      </c>
      <c r="DC88" s="298" t="s">
        <v>56</v>
      </c>
      <c r="DD88" s="279" t="s">
        <v>235</v>
      </c>
      <c r="DE88" s="279" t="s">
        <v>282</v>
      </c>
      <c r="DF88" s="298" t="s">
        <v>57</v>
      </c>
      <c r="DG88" s="298" t="s">
        <v>57</v>
      </c>
      <c r="DH88" s="298" t="s">
        <v>57</v>
      </c>
      <c r="DI88" s="298" t="s">
        <v>57</v>
      </c>
      <c r="DJ88" s="302" t="s">
        <v>77</v>
      </c>
      <c r="DK88" s="302" t="s">
        <v>77</v>
      </c>
      <c r="DL88" s="302" t="s">
        <v>77</v>
      </c>
      <c r="DM88" s="302" t="s">
        <v>77</v>
      </c>
      <c r="DN88" s="302" t="s">
        <v>77</v>
      </c>
      <c r="DO88" s="279" t="s">
        <v>526</v>
      </c>
      <c r="DP88" s="280"/>
      <c r="DQ88" s="118"/>
      <c r="DR88" s="28"/>
      <c r="DS88" s="28"/>
      <c r="DT88" s="28"/>
      <c r="DU88" s="28"/>
      <c r="DV88" s="28"/>
      <c r="DW88" s="28"/>
      <c r="DX88" s="28"/>
      <c r="DY88" s="28"/>
    </row>
    <row r="89" spans="1:130" ht="307.5" customHeight="1" thickBot="1" x14ac:dyDescent="0.25">
      <c r="A89" s="532"/>
      <c r="B89" s="71" t="s">
        <v>53</v>
      </c>
      <c r="C89" s="87"/>
      <c r="D89" s="244">
        <v>909</v>
      </c>
      <c r="E89" s="72" t="s">
        <v>236</v>
      </c>
      <c r="F89" s="20" t="s">
        <v>77</v>
      </c>
      <c r="G89" s="20" t="s">
        <v>77</v>
      </c>
      <c r="H89" s="20" t="s">
        <v>77</v>
      </c>
      <c r="I89" s="105" t="s">
        <v>497</v>
      </c>
      <c r="J89" s="72" t="s">
        <v>237</v>
      </c>
      <c r="K89" s="120"/>
      <c r="L89" s="5" t="s">
        <v>54</v>
      </c>
      <c r="M89" s="324" t="s">
        <v>77</v>
      </c>
      <c r="N89" s="326" t="s">
        <v>77</v>
      </c>
      <c r="O89" s="318">
        <v>1</v>
      </c>
      <c r="P89" s="318" t="s">
        <v>77</v>
      </c>
      <c r="Q89" s="143">
        <v>0</v>
      </c>
      <c r="R89" s="143">
        <v>0</v>
      </c>
      <c r="S89" s="343">
        <v>0</v>
      </c>
      <c r="T89" s="343">
        <v>0</v>
      </c>
      <c r="U89" s="343">
        <v>0</v>
      </c>
      <c r="V89" s="343">
        <v>0</v>
      </c>
      <c r="W89" s="52" t="s">
        <v>77</v>
      </c>
      <c r="X89" s="201" t="s">
        <v>77</v>
      </c>
      <c r="Y89" s="152">
        <v>0</v>
      </c>
      <c r="Z89" s="152">
        <v>0</v>
      </c>
      <c r="AA89" s="152">
        <f t="shared" si="217"/>
        <v>0</v>
      </c>
      <c r="AB89" s="152">
        <f t="shared" si="260"/>
        <v>0</v>
      </c>
      <c r="AC89" s="153">
        <f t="shared" si="261"/>
        <v>0</v>
      </c>
      <c r="AD89" s="152">
        <v>0</v>
      </c>
      <c r="AE89" s="152">
        <v>0</v>
      </c>
      <c r="AF89" s="152">
        <f t="shared" si="262"/>
        <v>0</v>
      </c>
      <c r="AG89" s="152">
        <f t="shared" si="263"/>
        <v>0</v>
      </c>
      <c r="AH89" s="119">
        <v>175</v>
      </c>
      <c r="AI89" s="119">
        <v>255</v>
      </c>
      <c r="AJ89" s="119">
        <f t="shared" si="188"/>
        <v>215</v>
      </c>
      <c r="AK89" s="147">
        <f t="shared" si="235"/>
        <v>175</v>
      </c>
      <c r="AL89" s="147">
        <f t="shared" si="236"/>
        <v>255</v>
      </c>
      <c r="AM89" s="147">
        <f t="shared" si="237"/>
        <v>215</v>
      </c>
      <c r="AN89" s="344">
        <v>0.2</v>
      </c>
      <c r="AO89" s="77">
        <v>0</v>
      </c>
      <c r="AP89" s="77">
        <f t="shared" si="253"/>
        <v>244.99999999999997</v>
      </c>
      <c r="AQ89" s="77">
        <f t="shared" si="254"/>
        <v>357</v>
      </c>
      <c r="AR89" s="119">
        <f t="shared" si="247"/>
        <v>301</v>
      </c>
      <c r="AS89" s="77">
        <v>115</v>
      </c>
      <c r="AT89" s="77">
        <v>330</v>
      </c>
      <c r="AU89" s="119">
        <f t="shared" si="193"/>
        <v>222.5</v>
      </c>
      <c r="AV89" s="147">
        <f t="shared" si="238"/>
        <v>115</v>
      </c>
      <c r="AW89" s="147">
        <f t="shared" si="239"/>
        <v>330</v>
      </c>
      <c r="AX89" s="147">
        <f t="shared" si="240"/>
        <v>222.5</v>
      </c>
      <c r="AY89" s="52">
        <v>0</v>
      </c>
      <c r="AZ89" s="52">
        <v>0.1</v>
      </c>
      <c r="BA89" s="52">
        <v>0</v>
      </c>
      <c r="BB89" s="345" t="s">
        <v>303</v>
      </c>
      <c r="BC89" s="77">
        <f t="shared" si="202"/>
        <v>269.5</v>
      </c>
      <c r="BD89" s="77">
        <f t="shared" si="203"/>
        <v>392.70000000000005</v>
      </c>
      <c r="BE89" s="147">
        <f t="shared" si="243"/>
        <v>331.1</v>
      </c>
      <c r="BF89" s="77">
        <f t="shared" si="198"/>
        <v>115</v>
      </c>
      <c r="BG89" s="77">
        <f t="shared" si="199"/>
        <v>330</v>
      </c>
      <c r="BH89" s="147">
        <f t="shared" si="199"/>
        <v>222.5</v>
      </c>
      <c r="BI89" s="57">
        <v>10</v>
      </c>
      <c r="BJ89" s="77">
        <v>90</v>
      </c>
      <c r="BK89" s="208">
        <f t="shared" si="241"/>
        <v>180</v>
      </c>
      <c r="BL89" s="209">
        <f t="shared" si="223"/>
        <v>89.172246277238401</v>
      </c>
      <c r="BM89" s="57">
        <f t="shared" si="224"/>
        <v>0</v>
      </c>
      <c r="BN89" s="57">
        <f t="shared" si="248"/>
        <v>0</v>
      </c>
      <c r="BO89" s="57">
        <f t="shared" si="225"/>
        <v>0</v>
      </c>
      <c r="BP89" s="57">
        <f t="shared" si="249"/>
        <v>0</v>
      </c>
      <c r="BQ89" s="363">
        <f t="shared" si="255"/>
        <v>0</v>
      </c>
      <c r="BR89" s="363">
        <f t="shared" si="256"/>
        <v>0</v>
      </c>
      <c r="BS89" s="363">
        <f t="shared" si="257"/>
        <v>0</v>
      </c>
      <c r="BT89" s="363">
        <f t="shared" si="258"/>
        <v>0</v>
      </c>
      <c r="BU89" s="77">
        <f t="shared" si="259"/>
        <v>3103.9418012151468</v>
      </c>
      <c r="BV89" s="79" t="s">
        <v>77</v>
      </c>
      <c r="BW89" s="79" t="s">
        <v>77</v>
      </c>
      <c r="BX89" s="79" t="s">
        <v>77</v>
      </c>
      <c r="BY89" s="79" t="s">
        <v>77</v>
      </c>
      <c r="BZ89" s="79" t="s">
        <v>77</v>
      </c>
      <c r="CA89" s="79" t="s">
        <v>77</v>
      </c>
      <c r="CB89" s="79" t="s">
        <v>77</v>
      </c>
      <c r="CC89" s="79" t="s">
        <v>77</v>
      </c>
      <c r="CD89" s="79" t="s">
        <v>77</v>
      </c>
      <c r="CE89" s="79" t="s">
        <v>77</v>
      </c>
      <c r="CF89" s="79" t="s">
        <v>77</v>
      </c>
      <c r="CG89" s="79" t="s">
        <v>77</v>
      </c>
      <c r="CH89" s="79" t="s">
        <v>77</v>
      </c>
      <c r="CI89" s="43" t="s">
        <v>77</v>
      </c>
      <c r="CJ89" s="43" t="s">
        <v>77</v>
      </c>
      <c r="CK89" s="43" t="s">
        <v>77</v>
      </c>
      <c r="CL89" s="43" t="s">
        <v>77</v>
      </c>
      <c r="CM89" s="79" t="s">
        <v>77</v>
      </c>
      <c r="CN89" s="79" t="s">
        <v>77</v>
      </c>
      <c r="CO89" s="79" t="s">
        <v>77</v>
      </c>
      <c r="CP89" s="79" t="s">
        <v>77</v>
      </c>
      <c r="CQ89" s="79" t="s">
        <v>77</v>
      </c>
      <c r="CR89" s="79" t="s">
        <v>77</v>
      </c>
      <c r="CS89" s="79" t="s">
        <v>77</v>
      </c>
      <c r="CT89" s="79" t="s">
        <v>77</v>
      </c>
      <c r="CU89" s="79" t="s">
        <v>77</v>
      </c>
      <c r="CV89" s="79" t="s">
        <v>77</v>
      </c>
      <c r="CW89" s="79" t="s">
        <v>77</v>
      </c>
      <c r="CX89" s="79" t="s">
        <v>77</v>
      </c>
      <c r="CY89" s="73" t="s">
        <v>325</v>
      </c>
      <c r="CZ89" s="120" t="s">
        <v>77</v>
      </c>
      <c r="DA89" s="120" t="s">
        <v>56</v>
      </c>
      <c r="DB89" s="120" t="s">
        <v>77</v>
      </c>
      <c r="DC89" s="120" t="s">
        <v>56</v>
      </c>
      <c r="DD89" s="72" t="s">
        <v>238</v>
      </c>
      <c r="DE89" s="72" t="s">
        <v>239</v>
      </c>
      <c r="DF89" s="120" t="s">
        <v>57</v>
      </c>
      <c r="DG89" s="120" t="s">
        <v>57</v>
      </c>
      <c r="DH89" s="120" t="s">
        <v>57</v>
      </c>
      <c r="DI89" s="120" t="s">
        <v>57</v>
      </c>
      <c r="DJ89" s="186" t="s">
        <v>77</v>
      </c>
      <c r="DK89" s="186" t="s">
        <v>77</v>
      </c>
      <c r="DL89" s="186" t="s">
        <v>77</v>
      </c>
      <c r="DM89" s="186" t="s">
        <v>77</v>
      </c>
      <c r="DN89" s="186" t="s">
        <v>77</v>
      </c>
      <c r="DO89" s="72" t="s">
        <v>514</v>
      </c>
      <c r="DP89" s="120"/>
      <c r="DQ89" s="121"/>
      <c r="DR89" s="29"/>
      <c r="DS89" s="29"/>
      <c r="DT89" s="29"/>
      <c r="DU89" s="29"/>
      <c r="DV89" s="29"/>
      <c r="DW89" s="29"/>
      <c r="DX89" s="29"/>
      <c r="DY89" s="29"/>
    </row>
    <row r="90" spans="1:130" ht="13.5" thickTop="1" x14ac:dyDescent="0.2">
      <c r="A90" s="159"/>
      <c r="B90" s="295"/>
      <c r="C90" s="295"/>
      <c r="D90" s="240"/>
      <c r="E90" s="28"/>
      <c r="F90" s="16"/>
      <c r="G90" s="16"/>
      <c r="H90" s="16"/>
      <c r="I90" s="28"/>
      <c r="J90" s="28"/>
      <c r="K90" s="16"/>
      <c r="L90" s="16"/>
      <c r="M90" s="141"/>
      <c r="N90" s="7"/>
      <c r="O90" s="7"/>
      <c r="P90" s="54"/>
      <c r="Q90" s="54"/>
      <c r="R90" s="54"/>
      <c r="S90" s="54"/>
      <c r="T90" s="54"/>
      <c r="U90" s="54"/>
      <c r="V90" s="54"/>
      <c r="W90" s="47"/>
      <c r="X90" s="47"/>
      <c r="Y90" s="54"/>
      <c r="Z90" s="54"/>
      <c r="AA90" s="160"/>
      <c r="AB90" s="160"/>
      <c r="AC90" s="160"/>
      <c r="AD90" s="54"/>
      <c r="AE90" s="54"/>
      <c r="AF90" s="54"/>
      <c r="AG90" s="54"/>
      <c r="AH90" s="16"/>
      <c r="AI90" s="16"/>
      <c r="AJ90" s="16"/>
      <c r="AK90" s="44"/>
      <c r="AL90" s="44"/>
      <c r="AM90" s="44"/>
      <c r="AN90" s="58"/>
      <c r="AO90" s="58"/>
      <c r="AP90" s="44"/>
      <c r="AQ90" s="44"/>
      <c r="AR90" s="44"/>
      <c r="AS90" s="44"/>
      <c r="AT90" s="44"/>
      <c r="AU90" s="44"/>
      <c r="AV90" s="44"/>
      <c r="AW90" s="44"/>
      <c r="AX90" s="44"/>
      <c r="AY90" s="47"/>
      <c r="AZ90" s="47"/>
      <c r="BA90" s="47"/>
      <c r="BB90" s="7"/>
      <c r="BC90" s="44"/>
      <c r="BD90" s="44"/>
      <c r="BE90" s="44"/>
      <c r="BF90" s="44"/>
      <c r="BG90" s="44"/>
      <c r="BH90" s="44"/>
      <c r="BI90" s="62"/>
      <c r="BJ90" s="62"/>
      <c r="BK90" s="62"/>
      <c r="BL90" s="62"/>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39"/>
      <c r="CZ90" s="39"/>
      <c r="DA90" s="39"/>
      <c r="DB90" s="39"/>
      <c r="DC90" s="39"/>
      <c r="DD90" s="28"/>
      <c r="DE90" s="28"/>
      <c r="DF90" s="16"/>
      <c r="DG90" s="16"/>
      <c r="DH90" s="16"/>
      <c r="DI90" s="16"/>
      <c r="DJ90" s="16"/>
      <c r="DK90" s="16"/>
      <c r="DL90" s="16"/>
      <c r="DM90" s="16"/>
      <c r="DN90" s="16"/>
      <c r="DO90" s="28"/>
      <c r="DP90" s="161"/>
      <c r="DQ90" s="17"/>
      <c r="DR90" s="17"/>
      <c r="DS90" s="17"/>
      <c r="DT90" s="17"/>
      <c r="DU90" s="17"/>
      <c r="DV90" s="17"/>
      <c r="DW90" s="17"/>
      <c r="DX90" s="17"/>
      <c r="DY90" s="17"/>
    </row>
    <row r="91" spans="1:130" ht="12.75" customHeight="1" x14ac:dyDescent="0.2">
      <c r="A91" s="508" t="s">
        <v>619</v>
      </c>
      <c r="B91" s="508"/>
      <c r="C91" s="508"/>
      <c r="D91" s="245"/>
      <c r="F91" s="192"/>
      <c r="G91" s="411" t="s">
        <v>761</v>
      </c>
      <c r="H91" s="498"/>
      <c r="I91" s="498"/>
      <c r="J91" s="498"/>
      <c r="Q91" s="579" t="s">
        <v>240</v>
      </c>
      <c r="R91" s="579"/>
      <c r="S91" s="579"/>
      <c r="T91" s="579"/>
      <c r="U91" s="579"/>
      <c r="V91" s="579"/>
      <c r="W91" s="579"/>
      <c r="X91" s="579"/>
      <c r="Z91" s="554" t="s">
        <v>564</v>
      </c>
      <c r="AA91" s="554"/>
      <c r="AB91" s="554"/>
      <c r="AC91" s="1"/>
      <c r="AE91" s="548" t="s">
        <v>553</v>
      </c>
      <c r="AF91" s="548"/>
      <c r="AG91" s="548"/>
      <c r="AH91" s="205" t="s">
        <v>612</v>
      </c>
      <c r="AI91" s="50"/>
      <c r="AJ91" s="102"/>
      <c r="AK91" s="102"/>
      <c r="AL91" s="102"/>
      <c r="AM91" s="50"/>
      <c r="AN91" s="50"/>
      <c r="AO91" s="50"/>
      <c r="AP91" s="50"/>
      <c r="AQ91" s="16"/>
      <c r="AR91" s="16"/>
      <c r="AS91" s="16"/>
      <c r="AT91" s="16"/>
      <c r="AU91" s="44"/>
      <c r="AV91" s="44"/>
      <c r="AW91" s="44"/>
      <c r="AX91" s="59"/>
      <c r="BY91" s="124"/>
      <c r="CG91" s="163"/>
      <c r="CH91" s="163"/>
      <c r="CI91" s="124"/>
      <c r="CJ91" s="124"/>
      <c r="CK91" s="124"/>
      <c r="CL91" s="124"/>
      <c r="CO91" s="124"/>
      <c r="CW91" s="163"/>
      <c r="CX91" s="163"/>
      <c r="CY91" s="125"/>
      <c r="CZ91" s="125"/>
      <c r="DA91" s="154"/>
      <c r="DB91" s="74"/>
      <c r="DC91" s="154" t="s">
        <v>55</v>
      </c>
      <c r="DD91" s="28"/>
      <c r="DE91" s="28"/>
      <c r="DF91" s="164" t="s">
        <v>56</v>
      </c>
      <c r="DG91" s="16"/>
      <c r="DH91" s="16"/>
      <c r="DI91" s="16"/>
      <c r="DJ91" s="275" t="s">
        <v>589</v>
      </c>
      <c r="DK91" s="275"/>
      <c r="DL91" s="275"/>
      <c r="DM91" s="275"/>
      <c r="DN91" s="275"/>
      <c r="DO91" s="275"/>
      <c r="DV91" s="17"/>
      <c r="DW91" s="17"/>
      <c r="DX91" s="17"/>
      <c r="DY91" s="17"/>
    </row>
    <row r="92" spans="1:130" ht="15" customHeight="1" x14ac:dyDescent="0.2">
      <c r="A92" s="508"/>
      <c r="B92" s="508"/>
      <c r="C92" s="508"/>
      <c r="D92" s="245"/>
      <c r="F92" s="18"/>
      <c r="G92" s="498"/>
      <c r="H92" s="498"/>
      <c r="I92" s="498"/>
      <c r="J92" s="498"/>
      <c r="Q92" s="553" t="s">
        <v>568</v>
      </c>
      <c r="R92" s="553"/>
      <c r="S92" s="553"/>
      <c r="T92" s="553"/>
      <c r="U92" s="553"/>
      <c r="V92" s="553"/>
      <c r="W92" s="553"/>
      <c r="X92" s="553"/>
      <c r="Z92" s="555" t="s">
        <v>565</v>
      </c>
      <c r="AA92" s="555"/>
      <c r="AB92" s="555"/>
      <c r="AE92" s="558" t="s">
        <v>707</v>
      </c>
      <c r="AF92" s="558"/>
      <c r="AG92" s="558"/>
      <c r="AH92" s="135"/>
      <c r="AI92" s="50"/>
      <c r="AJ92" s="50"/>
      <c r="AK92" s="102"/>
      <c r="AL92" s="102"/>
      <c r="AM92" s="102"/>
      <c r="AN92" s="50"/>
      <c r="AO92" s="50"/>
      <c r="AP92" s="50"/>
      <c r="AQ92" s="50"/>
      <c r="AR92" s="16"/>
      <c r="AS92" s="16"/>
      <c r="AT92" s="16"/>
      <c r="AU92" s="16"/>
      <c r="AV92" s="48"/>
      <c r="AW92" s="36"/>
      <c r="AX92" s="36"/>
      <c r="AY92" s="58"/>
      <c r="AZ92" s="44"/>
      <c r="BA92" s="44"/>
      <c r="BB92" s="44"/>
      <c r="BC92" s="44"/>
      <c r="BD92" s="44"/>
      <c r="BE92" s="44"/>
      <c r="BF92" s="44"/>
      <c r="BG92" s="44"/>
      <c r="BH92" s="44"/>
      <c r="BI92" s="47"/>
      <c r="BJ92" s="47"/>
      <c r="BK92" s="47"/>
      <c r="BL92" s="7"/>
      <c r="BM92" s="44"/>
      <c r="BN92" s="44"/>
      <c r="BO92" s="44"/>
      <c r="BP92" s="44"/>
      <c r="BQ92" s="44"/>
      <c r="BR92" s="44"/>
      <c r="BS92" s="44"/>
      <c r="BT92" s="44"/>
      <c r="BU92" s="44"/>
      <c r="BV92" s="44"/>
      <c r="BW92" s="62"/>
      <c r="BX92" s="62"/>
      <c r="BY92" s="62"/>
      <c r="BZ92" s="62"/>
      <c r="CA92" s="44"/>
      <c r="CB92" s="44"/>
      <c r="CC92" s="44"/>
      <c r="CD92" s="44"/>
      <c r="CE92" s="44"/>
      <c r="CF92" s="44"/>
      <c r="CG92" s="124"/>
      <c r="CH92" s="124"/>
      <c r="CI92" s="163"/>
      <c r="CJ92" s="44"/>
      <c r="CK92" s="44"/>
      <c r="CL92" s="44"/>
      <c r="CM92" s="62"/>
      <c r="CN92" s="62"/>
      <c r="CO92" s="62"/>
      <c r="CP92" s="62"/>
      <c r="CQ92" s="44"/>
      <c r="CR92" s="44"/>
      <c r="CS92" s="44"/>
      <c r="CT92" s="44"/>
      <c r="CU92" s="44"/>
      <c r="CV92" s="44"/>
      <c r="CW92" s="124"/>
      <c r="CX92" s="124"/>
      <c r="CY92" s="44"/>
      <c r="CZ92" s="39"/>
      <c r="DA92" s="39"/>
      <c r="DB92" s="155" t="s">
        <v>57</v>
      </c>
      <c r="DC92" s="39"/>
      <c r="DD92" s="155" t="s">
        <v>7</v>
      </c>
      <c r="DE92" s="28"/>
      <c r="DF92" s="28"/>
      <c r="DG92" s="164" t="s">
        <v>57</v>
      </c>
      <c r="DH92" s="16"/>
      <c r="DI92" s="16"/>
      <c r="DJ92" s="16"/>
      <c r="DK92" s="275"/>
      <c r="DL92" s="275"/>
      <c r="DM92" s="275"/>
      <c r="DN92" s="275"/>
      <c r="DO92" s="275"/>
      <c r="DP92" s="275"/>
      <c r="DW92" s="28"/>
      <c r="DX92" s="28"/>
      <c r="DY92" s="28"/>
      <c r="DZ92" s="28"/>
    </row>
    <row r="93" spans="1:130" ht="15" customHeight="1" x14ac:dyDescent="0.2">
      <c r="A93" s="508"/>
      <c r="B93" s="508"/>
      <c r="C93" s="508"/>
      <c r="D93" s="245"/>
      <c r="F93" s="18"/>
      <c r="G93" s="498"/>
      <c r="H93" s="498"/>
      <c r="I93" s="498"/>
      <c r="J93" s="498"/>
      <c r="Z93" s="556"/>
      <c r="AA93" s="556"/>
      <c r="AB93" s="556"/>
      <c r="AE93" s="559"/>
      <c r="AF93" s="559"/>
      <c r="AG93" s="559"/>
      <c r="AH93" s="135"/>
      <c r="AI93" s="493" t="s">
        <v>571</v>
      </c>
      <c r="AJ93" s="493"/>
      <c r="AK93" s="493"/>
      <c r="AL93" s="493"/>
      <c r="AM93" s="493"/>
      <c r="AN93" s="493"/>
      <c r="AO93" s="493"/>
      <c r="AP93" s="493"/>
      <c r="AQ93" s="493"/>
      <c r="AR93" s="493"/>
      <c r="AS93" s="493"/>
      <c r="AT93" s="493"/>
      <c r="AU93" s="493"/>
      <c r="AV93" s="493"/>
      <c r="AW93" s="493"/>
      <c r="AX93" s="493"/>
      <c r="AY93" s="493"/>
      <c r="AZ93" s="36"/>
      <c r="BA93" s="586" t="s">
        <v>624</v>
      </c>
      <c r="BB93" s="586"/>
      <c r="BC93" s="586"/>
      <c r="BD93" s="586"/>
      <c r="BE93" s="586"/>
      <c r="BF93" s="586"/>
      <c r="BG93" s="586"/>
      <c r="BH93" s="586"/>
      <c r="BI93" s="586"/>
      <c r="BJ93" s="586"/>
      <c r="BK93" s="586"/>
      <c r="BL93" s="586"/>
      <c r="BM93" s="586"/>
      <c r="BN93" s="586"/>
      <c r="BO93" s="586"/>
      <c r="BP93" s="168"/>
      <c r="BQ93" s="545" t="s">
        <v>597</v>
      </c>
      <c r="BR93" s="545"/>
      <c r="BS93" s="545"/>
      <c r="BT93" s="545"/>
      <c r="BU93" s="545"/>
      <c r="BV93" s="545"/>
      <c r="BW93" s="545"/>
      <c r="BX93" s="545"/>
      <c r="BY93" s="545"/>
      <c r="BZ93" s="545"/>
      <c r="CA93" s="545"/>
      <c r="CB93" s="545"/>
      <c r="CC93" s="545"/>
      <c r="CD93" s="545"/>
      <c r="CE93" s="545"/>
      <c r="CF93" s="44"/>
      <c r="CG93" s="395" t="s">
        <v>623</v>
      </c>
      <c r="CH93" s="395"/>
      <c r="CI93" s="395"/>
      <c r="CJ93" s="395"/>
      <c r="CK93" s="395"/>
      <c r="CL93" s="395"/>
      <c r="CM93" s="395"/>
      <c r="CN93" s="395"/>
      <c r="CO93" s="395"/>
      <c r="CP93" s="395"/>
      <c r="CQ93" s="395"/>
      <c r="CR93" s="395"/>
      <c r="CS93" s="395"/>
      <c r="CT93" s="395"/>
      <c r="CU93" s="395"/>
      <c r="CV93" s="44"/>
      <c r="DI93" s="93"/>
      <c r="DJ93" s="93"/>
      <c r="DK93" s="275"/>
      <c r="DL93" s="275"/>
      <c r="DM93" s="275"/>
      <c r="DN93" s="275"/>
      <c r="DO93" s="275"/>
      <c r="DP93" s="275"/>
      <c r="DW93" s="17"/>
      <c r="DX93" s="17"/>
      <c r="DY93" s="17"/>
      <c r="DZ93" s="17"/>
    </row>
    <row r="94" spans="1:130" ht="15" customHeight="1" x14ac:dyDescent="0.2">
      <c r="A94" s="508"/>
      <c r="B94" s="508"/>
      <c r="C94" s="508"/>
      <c r="D94" s="245"/>
      <c r="F94" s="18"/>
      <c r="G94" s="498"/>
      <c r="H94" s="498"/>
      <c r="I94" s="498"/>
      <c r="J94" s="498"/>
      <c r="Q94" s="207" t="s">
        <v>389</v>
      </c>
      <c r="R94" s="206" t="s">
        <v>510</v>
      </c>
      <c r="S94" s="21"/>
      <c r="T94" s="206" t="s">
        <v>389</v>
      </c>
      <c r="U94" s="206" t="s">
        <v>510</v>
      </c>
      <c r="V94" s="54"/>
      <c r="W94" s="207" t="s">
        <v>389</v>
      </c>
      <c r="X94" s="206" t="s">
        <v>510</v>
      </c>
      <c r="Z94" s="556"/>
      <c r="AA94" s="556"/>
      <c r="AB94" s="556"/>
      <c r="AE94" s="559"/>
      <c r="AF94" s="559"/>
      <c r="AG94" s="559"/>
      <c r="AH94" s="135"/>
      <c r="AK94" s="1"/>
      <c r="AN94" s="130"/>
      <c r="AP94" s="136"/>
      <c r="AY94" s="130"/>
      <c r="AZ94" s="136"/>
      <c r="BA94" s="586"/>
      <c r="BB94" s="586"/>
      <c r="BC94" s="586"/>
      <c r="BD94" s="586"/>
      <c r="BE94" s="586"/>
      <c r="BF94" s="586"/>
      <c r="BG94" s="586"/>
      <c r="BH94" s="586"/>
      <c r="BI94" s="586"/>
      <c r="BJ94" s="586"/>
      <c r="BK94" s="586"/>
      <c r="BL94" s="586"/>
      <c r="BM94" s="586"/>
      <c r="BN94" s="586"/>
      <c r="BO94" s="586"/>
      <c r="BP94" s="168"/>
      <c r="BQ94" s="545"/>
      <c r="BR94" s="545"/>
      <c r="BS94" s="545"/>
      <c r="BT94" s="545"/>
      <c r="BU94" s="545"/>
      <c r="BV94" s="545"/>
      <c r="BW94" s="545"/>
      <c r="BX94" s="545"/>
      <c r="BY94" s="545"/>
      <c r="BZ94" s="545"/>
      <c r="CA94" s="545"/>
      <c r="CB94" s="545"/>
      <c r="CC94" s="545"/>
      <c r="CD94" s="545"/>
      <c r="CE94" s="545"/>
      <c r="CF94" s="44"/>
      <c r="CG94" s="295"/>
      <c r="CH94" s="295"/>
      <c r="CI94" s="295"/>
      <c r="CJ94" s="295"/>
      <c r="CK94" s="295"/>
      <c r="CL94" s="295"/>
      <c r="CM94" s="295"/>
      <c r="CN94" s="295"/>
      <c r="CV94" s="44"/>
      <c r="DI94" s="93"/>
      <c r="DJ94" s="93"/>
      <c r="DK94" s="275"/>
      <c r="DL94" s="275"/>
      <c r="DM94" s="275"/>
      <c r="DN94" s="275"/>
      <c r="DO94" s="275"/>
      <c r="DP94" s="275"/>
      <c r="DW94" s="17"/>
      <c r="DX94" s="17"/>
      <c r="DY94" s="17"/>
      <c r="DZ94" s="17"/>
    </row>
    <row r="95" spans="1:130" ht="25.5" customHeight="1" x14ac:dyDescent="0.2">
      <c r="A95" s="508"/>
      <c r="B95" s="508"/>
      <c r="C95" s="508"/>
      <c r="D95" s="245"/>
      <c r="F95" s="18"/>
      <c r="G95" s="498"/>
      <c r="H95" s="498"/>
      <c r="I95" s="498"/>
      <c r="J95" s="498"/>
      <c r="Q95" s="491" t="s">
        <v>762</v>
      </c>
      <c r="R95" s="491"/>
      <c r="S95" s="7"/>
      <c r="T95" s="491" t="s">
        <v>705</v>
      </c>
      <c r="U95" s="491"/>
      <c r="V95" s="54"/>
      <c r="W95" s="581" t="s">
        <v>95</v>
      </c>
      <c r="X95" s="581"/>
      <c r="Z95" s="557"/>
      <c r="AA95" s="557"/>
      <c r="AB95" s="557"/>
      <c r="AE95" s="560"/>
      <c r="AF95" s="560"/>
      <c r="AG95" s="560"/>
      <c r="AH95" s="135"/>
      <c r="AI95" s="493" t="s">
        <v>628</v>
      </c>
      <c r="AJ95" s="493"/>
      <c r="AK95" s="493"/>
      <c r="AL95" s="493"/>
      <c r="AM95" s="493"/>
      <c r="AN95" s="493"/>
      <c r="AO95" s="493"/>
      <c r="AP95" s="493"/>
      <c r="AQ95" s="493"/>
      <c r="AR95" s="493"/>
      <c r="AS95" s="493"/>
      <c r="AT95" s="493"/>
      <c r="AU95" s="493"/>
      <c r="AV95" s="493"/>
      <c r="AW95" s="493"/>
      <c r="AX95" s="493"/>
      <c r="AY95" s="493"/>
      <c r="AZ95" s="136"/>
      <c r="BA95" s="586"/>
      <c r="BB95" s="586"/>
      <c r="BC95" s="586"/>
      <c r="BD95" s="586"/>
      <c r="BE95" s="586"/>
      <c r="BF95" s="586"/>
      <c r="BG95" s="586"/>
      <c r="BH95" s="586"/>
      <c r="BI95" s="586"/>
      <c r="BJ95" s="586"/>
      <c r="BK95" s="586"/>
      <c r="BL95" s="586"/>
      <c r="BM95" s="586"/>
      <c r="BN95" s="586"/>
      <c r="BO95" s="586"/>
      <c r="BP95" s="168"/>
      <c r="BQ95" s="545"/>
      <c r="BR95" s="545"/>
      <c r="BS95" s="545"/>
      <c r="BT95" s="545"/>
      <c r="BU95" s="545"/>
      <c r="BV95" s="545"/>
      <c r="BW95" s="545"/>
      <c r="BX95" s="545"/>
      <c r="BY95" s="545"/>
      <c r="BZ95" s="545"/>
      <c r="CA95" s="545"/>
      <c r="CB95" s="545"/>
      <c r="CC95" s="545"/>
      <c r="CD95" s="545"/>
      <c r="CE95" s="545"/>
      <c r="CF95" s="124"/>
      <c r="CG95" s="395" t="s">
        <v>622</v>
      </c>
      <c r="CH95" s="395"/>
      <c r="CI95" s="395"/>
      <c r="CJ95" s="395"/>
      <c r="CK95" s="395"/>
      <c r="CL95" s="395"/>
      <c r="CM95" s="395"/>
      <c r="CN95" s="395"/>
      <c r="CO95" s="395"/>
      <c r="CP95" s="395"/>
      <c r="CQ95" s="395"/>
      <c r="CR95" s="395"/>
      <c r="CS95" s="395"/>
      <c r="CT95" s="395"/>
      <c r="CU95" s="395"/>
      <c r="CV95" s="124"/>
      <c r="DI95" s="171"/>
      <c r="DJ95" s="171"/>
      <c r="DK95" s="275"/>
      <c r="DL95" s="275"/>
      <c r="DM95" s="275"/>
      <c r="DN95" s="275"/>
      <c r="DO95" s="275"/>
      <c r="DP95" s="275"/>
      <c r="DW95" s="17"/>
      <c r="DX95" s="17"/>
      <c r="DY95" s="17"/>
      <c r="DZ95" s="17"/>
    </row>
    <row r="96" spans="1:130" ht="15" customHeight="1" x14ac:dyDescent="0.2">
      <c r="A96" s="508"/>
      <c r="B96" s="508"/>
      <c r="C96" s="508"/>
      <c r="D96" s="245"/>
      <c r="F96" s="18"/>
      <c r="G96" s="498"/>
      <c r="H96" s="498"/>
      <c r="I96" s="498"/>
      <c r="J96" s="498"/>
      <c r="Q96" s="492"/>
      <c r="R96" s="492"/>
      <c r="S96" s="126"/>
      <c r="T96" s="492"/>
      <c r="U96" s="492"/>
      <c r="V96" s="54"/>
      <c r="W96" s="582"/>
      <c r="X96" s="582"/>
      <c r="AH96" s="135"/>
      <c r="AK96" s="1"/>
      <c r="AN96" s="130"/>
      <c r="AP96" s="136"/>
      <c r="AY96" s="130"/>
      <c r="AZ96" s="136"/>
      <c r="BA96" s="586"/>
      <c r="BB96" s="586"/>
      <c r="BC96" s="586"/>
      <c r="BD96" s="586"/>
      <c r="BE96" s="586"/>
      <c r="BF96" s="586"/>
      <c r="BG96" s="586"/>
      <c r="BH96" s="586"/>
      <c r="BI96" s="586"/>
      <c r="BJ96" s="586"/>
      <c r="BK96" s="586"/>
      <c r="BL96" s="586"/>
      <c r="BM96" s="586"/>
      <c r="BN96" s="586"/>
      <c r="BO96" s="586"/>
      <c r="BP96" s="168"/>
      <c r="BQ96" s="589" t="s">
        <v>587</v>
      </c>
      <c r="BR96" s="589"/>
      <c r="BS96" s="589"/>
      <c r="BT96" s="589"/>
      <c r="BU96" s="589"/>
      <c r="BV96" s="589"/>
      <c r="BW96" s="589"/>
      <c r="BX96" s="589"/>
      <c r="BY96" s="589"/>
      <c r="BZ96" s="589"/>
      <c r="CA96" s="589"/>
      <c r="CB96" s="589"/>
      <c r="CC96" s="589"/>
      <c r="CD96" s="589"/>
      <c r="CE96" s="589"/>
      <c r="CF96" s="124"/>
      <c r="CG96" s="395"/>
      <c r="CH96" s="395"/>
      <c r="CI96" s="395"/>
      <c r="CJ96" s="395"/>
      <c r="CK96" s="395"/>
      <c r="CL96" s="395"/>
      <c r="CM96" s="395"/>
      <c r="CN96" s="395"/>
      <c r="CO96" s="395"/>
      <c r="CP96" s="395"/>
      <c r="CQ96" s="395"/>
      <c r="CR96" s="395"/>
      <c r="CS96" s="395"/>
      <c r="CT96" s="395"/>
      <c r="CU96" s="395"/>
      <c r="CV96" s="124"/>
      <c r="DI96" s="171"/>
      <c r="DJ96" s="171"/>
      <c r="DK96" s="275"/>
      <c r="DL96" s="275"/>
      <c r="DM96" s="275"/>
      <c r="DN96" s="275"/>
      <c r="DO96" s="275"/>
      <c r="DP96" s="275"/>
      <c r="DW96" s="17"/>
      <c r="DX96" s="17"/>
      <c r="DY96" s="17"/>
      <c r="DZ96" s="17"/>
    </row>
    <row r="97" spans="1:130" ht="15" customHeight="1" x14ac:dyDescent="0.2">
      <c r="A97" s="508"/>
      <c r="B97" s="508"/>
      <c r="C97" s="508"/>
      <c r="D97" s="245"/>
      <c r="F97" s="18"/>
      <c r="G97" s="498"/>
      <c r="H97" s="498"/>
      <c r="I97" s="498"/>
      <c r="J97" s="498"/>
      <c r="Q97" s="346">
        <v>20</v>
      </c>
      <c r="R97" s="346">
        <v>6</v>
      </c>
      <c r="S97" s="22"/>
      <c r="T97" s="346">
        <v>6</v>
      </c>
      <c r="U97" s="346">
        <v>1</v>
      </c>
      <c r="V97" s="54"/>
      <c r="W97" s="347">
        <v>5</v>
      </c>
      <c r="X97" s="347">
        <v>2</v>
      </c>
      <c r="Z97" s="39" t="s">
        <v>508</v>
      </c>
      <c r="AA97" s="188">
        <v>9702</v>
      </c>
      <c r="AB97" s="142">
        <v>40237</v>
      </c>
      <c r="AE97" s="163" t="s">
        <v>557</v>
      </c>
      <c r="AF97" s="348">
        <v>1</v>
      </c>
      <c r="AG97" s="187" t="s">
        <v>554</v>
      </c>
      <c r="AH97" s="135"/>
      <c r="AI97" s="393" t="s">
        <v>708</v>
      </c>
      <c r="AJ97" s="393"/>
      <c r="AK97" s="393"/>
      <c r="AL97" s="393"/>
      <c r="AM97" s="393"/>
      <c r="AN97" s="393"/>
      <c r="AO97" s="393"/>
      <c r="AP97" s="393"/>
      <c r="AQ97" s="393"/>
      <c r="AR97" s="393"/>
      <c r="AS97" s="393"/>
      <c r="AT97" s="393"/>
      <c r="AU97" s="393"/>
      <c r="AV97" s="393"/>
      <c r="AW97" s="393"/>
      <c r="AX97" s="393"/>
      <c r="AY97" s="393"/>
      <c r="AZ97" s="136"/>
      <c r="BB97" s="134"/>
      <c r="BC97" s="1"/>
      <c r="BI97" s="130"/>
      <c r="BM97" s="139"/>
      <c r="BP97" s="168"/>
      <c r="BQ97" s="589"/>
      <c r="BR97" s="589"/>
      <c r="BS97" s="589"/>
      <c r="BT97" s="589"/>
      <c r="BU97" s="589"/>
      <c r="BV97" s="589"/>
      <c r="BW97" s="589"/>
      <c r="BX97" s="589"/>
      <c r="BY97" s="589"/>
      <c r="BZ97" s="589"/>
      <c r="CA97" s="589"/>
      <c r="CB97" s="589"/>
      <c r="CC97" s="589"/>
      <c r="CD97" s="589"/>
      <c r="CE97" s="589"/>
      <c r="CF97" s="124"/>
      <c r="CG97" s="395"/>
      <c r="CH97" s="395"/>
      <c r="CI97" s="395"/>
      <c r="CJ97" s="395"/>
      <c r="CK97" s="395"/>
      <c r="CL97" s="395"/>
      <c r="CM97" s="395"/>
      <c r="CN97" s="395"/>
      <c r="CO97" s="395"/>
      <c r="CP97" s="395"/>
      <c r="CQ97" s="395"/>
      <c r="CR97" s="395"/>
      <c r="CS97" s="395"/>
      <c r="CT97" s="395"/>
      <c r="CU97" s="395"/>
      <c r="CV97" s="124"/>
      <c r="DI97" s="171"/>
      <c r="DJ97" s="171"/>
      <c r="DK97" s="275"/>
      <c r="DL97" s="275"/>
      <c r="DM97" s="275"/>
      <c r="DN97" s="275"/>
      <c r="DO97" s="275"/>
      <c r="DP97" s="275"/>
      <c r="DW97" s="17"/>
      <c r="DX97" s="17"/>
      <c r="DY97" s="17"/>
      <c r="DZ97" s="17"/>
    </row>
    <row r="98" spans="1:130" ht="12.75" customHeight="1" x14ac:dyDescent="0.2">
      <c r="A98" s="508"/>
      <c r="B98" s="508"/>
      <c r="C98" s="508"/>
      <c r="D98" s="245"/>
      <c r="F98" s="18"/>
      <c r="G98" s="498"/>
      <c r="H98" s="498"/>
      <c r="I98" s="498"/>
      <c r="J98" s="498"/>
      <c r="Q98" s="56"/>
      <c r="R98" s="167"/>
      <c r="S98" s="122"/>
      <c r="T98" s="123"/>
      <c r="U98" s="123"/>
      <c r="V98" s="54"/>
      <c r="W98" s="165"/>
      <c r="X98" s="165"/>
      <c r="Z98" s="44"/>
      <c r="AA98" s="44"/>
      <c r="AB98" s="44"/>
      <c r="AE98" s="163"/>
      <c r="AF98" s="163"/>
      <c r="AG98" s="163"/>
      <c r="AH98" s="135"/>
      <c r="AI98" s="393"/>
      <c r="AJ98" s="393"/>
      <c r="AK98" s="393"/>
      <c r="AL98" s="393"/>
      <c r="AM98" s="393"/>
      <c r="AN98" s="393"/>
      <c r="AO98" s="393"/>
      <c r="AP98" s="393"/>
      <c r="AQ98" s="393"/>
      <c r="AR98" s="393"/>
      <c r="AS98" s="393"/>
      <c r="AT98" s="393"/>
      <c r="AU98" s="393"/>
      <c r="AV98" s="393"/>
      <c r="AW98" s="393"/>
      <c r="AX98" s="393"/>
      <c r="AY98" s="393"/>
      <c r="AZ98" s="136"/>
      <c r="BA98" s="412" t="s">
        <v>586</v>
      </c>
      <c r="BB98" s="412"/>
      <c r="BC98" s="412"/>
      <c r="BD98" s="412"/>
      <c r="BE98" s="412"/>
      <c r="BF98" s="412"/>
      <c r="BG98" s="412"/>
      <c r="BH98" s="412"/>
      <c r="BI98" s="412"/>
      <c r="BJ98" s="412"/>
      <c r="BK98" s="412"/>
      <c r="BL98" s="412"/>
      <c r="BM98" s="412"/>
      <c r="BN98" s="412"/>
      <c r="BO98" s="412"/>
      <c r="BP98" s="168"/>
      <c r="BQ98" s="589"/>
      <c r="BR98" s="589"/>
      <c r="BS98" s="589"/>
      <c r="BT98" s="589"/>
      <c r="BU98" s="589"/>
      <c r="BV98" s="589"/>
      <c r="BW98" s="589"/>
      <c r="BX98" s="589"/>
      <c r="BY98" s="589"/>
      <c r="BZ98" s="589"/>
      <c r="CA98" s="589"/>
      <c r="CB98" s="589"/>
      <c r="CC98" s="589"/>
      <c r="CD98" s="589"/>
      <c r="CE98" s="589"/>
      <c r="CF98" s="124"/>
      <c r="CV98" s="124"/>
      <c r="CW98" s="124"/>
      <c r="CX98" s="124"/>
      <c r="CY98" s="124"/>
      <c r="CZ98" s="171"/>
      <c r="DI98" s="171"/>
      <c r="DJ98" s="171"/>
      <c r="DK98" s="275"/>
      <c r="DL98" s="275"/>
      <c r="DM98" s="275"/>
      <c r="DN98" s="275"/>
      <c r="DO98" s="275"/>
      <c r="DP98" s="275"/>
      <c r="DW98" s="17"/>
      <c r="DX98" s="17"/>
      <c r="DY98" s="17"/>
      <c r="DZ98" s="17"/>
    </row>
    <row r="99" spans="1:130" ht="12.75" customHeight="1" x14ac:dyDescent="0.2">
      <c r="A99" s="508"/>
      <c r="B99" s="508"/>
      <c r="C99" s="508"/>
      <c r="D99" s="245"/>
      <c r="F99" s="18"/>
      <c r="G99" s="498"/>
      <c r="H99" s="498"/>
      <c r="I99" s="498"/>
      <c r="J99" s="498"/>
      <c r="Q99" s="561" t="s">
        <v>18</v>
      </c>
      <c r="R99" s="561"/>
      <c r="S99" s="126"/>
      <c r="T99" s="547" t="s">
        <v>1</v>
      </c>
      <c r="U99" s="547"/>
      <c r="V99" s="54"/>
      <c r="W99" s="542" t="s">
        <v>22</v>
      </c>
      <c r="X99" s="542"/>
      <c r="Y99" s="1"/>
      <c r="Z99" s="166" t="s">
        <v>507</v>
      </c>
      <c r="AA99" s="349">
        <v>9702</v>
      </c>
      <c r="AB99" s="350">
        <v>40237</v>
      </c>
      <c r="AC99" s="135"/>
      <c r="AE99" s="163" t="s">
        <v>555</v>
      </c>
      <c r="AF99" s="351">
        <v>0.5</v>
      </c>
      <c r="AG99" s="187" t="s">
        <v>642</v>
      </c>
      <c r="AK99" s="1"/>
      <c r="AN99" s="130"/>
      <c r="AP99" s="136"/>
      <c r="AY99" s="130"/>
      <c r="AZ99" s="136"/>
      <c r="BB99" s="134"/>
      <c r="BC99" s="1"/>
      <c r="BI99" s="130"/>
      <c r="BM99" s="139"/>
      <c r="BP99" s="168"/>
      <c r="BQ99" s="589"/>
      <c r="BR99" s="589"/>
      <c r="BS99" s="589"/>
      <c r="BT99" s="589"/>
      <c r="BU99" s="589"/>
      <c r="BV99" s="589"/>
      <c r="BW99" s="589"/>
      <c r="BX99" s="589"/>
      <c r="BY99" s="589"/>
      <c r="BZ99" s="589"/>
      <c r="CA99" s="589"/>
      <c r="CB99" s="589"/>
      <c r="CC99" s="589"/>
      <c r="CD99" s="589"/>
      <c r="CE99" s="589"/>
      <c r="CF99" s="44"/>
      <c r="CG99" s="396" t="s">
        <v>712</v>
      </c>
      <c r="CH99" s="396"/>
      <c r="CI99" s="396"/>
      <c r="CJ99" s="396"/>
      <c r="CK99" s="396"/>
      <c r="CL99" s="396"/>
      <c r="CM99" s="396"/>
      <c r="CN99" s="396"/>
      <c r="CO99" s="396"/>
      <c r="CP99" s="396"/>
      <c r="CQ99" s="396"/>
      <c r="CR99" s="396"/>
      <c r="CS99" s="396"/>
      <c r="CT99" s="396"/>
      <c r="CU99" s="396"/>
      <c r="CV99" s="44"/>
      <c r="CW99" s="44"/>
      <c r="CX99" s="44"/>
      <c r="CY99" s="44"/>
      <c r="CZ99" s="171"/>
      <c r="DI99" s="297"/>
      <c r="DJ99" s="297"/>
      <c r="DK99" s="275"/>
      <c r="DL99" s="275"/>
      <c r="DM99" s="275"/>
      <c r="DN99" s="275"/>
      <c r="DO99" s="275"/>
      <c r="DP99" s="275"/>
      <c r="DW99" s="17"/>
      <c r="DX99" s="17"/>
      <c r="DY99" s="17"/>
      <c r="DZ99" s="17"/>
    </row>
    <row r="100" spans="1:130" ht="12.75" customHeight="1" x14ac:dyDescent="0.2">
      <c r="A100" s="508"/>
      <c r="B100" s="508"/>
      <c r="C100" s="508"/>
      <c r="D100" s="245"/>
      <c r="F100" s="18"/>
      <c r="G100" s="498"/>
      <c r="H100" s="498"/>
      <c r="I100" s="498"/>
      <c r="J100" s="498"/>
      <c r="Q100" s="346">
        <v>10</v>
      </c>
      <c r="R100" s="346">
        <v>2</v>
      </c>
      <c r="S100" s="22"/>
      <c r="T100" s="346">
        <v>2</v>
      </c>
      <c r="U100" s="346">
        <v>0.3</v>
      </c>
      <c r="V100" s="54"/>
      <c r="W100" s="346">
        <v>26.25</v>
      </c>
      <c r="X100" s="346">
        <v>6</v>
      </c>
      <c r="Z100" s="44"/>
      <c r="AA100" s="44"/>
      <c r="AB100" s="44"/>
      <c r="AE100" s="163"/>
      <c r="AF100" s="163"/>
      <c r="AG100" s="163"/>
      <c r="AH100" s="135"/>
      <c r="AI100" s="408" t="s">
        <v>702</v>
      </c>
      <c r="AJ100" s="408"/>
      <c r="AK100" s="408"/>
      <c r="AL100" s="408"/>
      <c r="AM100" s="408"/>
      <c r="AN100" s="408"/>
      <c r="AO100" s="408"/>
      <c r="AP100" s="408"/>
      <c r="AQ100" s="408"/>
      <c r="AR100" s="408"/>
      <c r="AS100" s="408"/>
      <c r="AT100" s="408"/>
      <c r="AU100" s="408"/>
      <c r="AV100" s="408"/>
      <c r="AW100" s="408"/>
      <c r="AX100" s="408"/>
      <c r="AY100" s="408"/>
      <c r="AZ100" s="136"/>
      <c r="BA100" s="412" t="s">
        <v>613</v>
      </c>
      <c r="BB100" s="412"/>
      <c r="BC100" s="412"/>
      <c r="BD100" s="412"/>
      <c r="BE100" s="412"/>
      <c r="BF100" s="412"/>
      <c r="BG100" s="412"/>
      <c r="BH100" s="412"/>
      <c r="BI100" s="412"/>
      <c r="BJ100" s="412"/>
      <c r="BK100" s="412"/>
      <c r="BL100" s="412"/>
      <c r="BM100" s="412"/>
      <c r="BN100" s="412"/>
      <c r="BO100" s="412"/>
      <c r="BP100" s="168"/>
      <c r="BQ100" s="190"/>
      <c r="BR100" s="190"/>
      <c r="BS100" s="190"/>
      <c r="BT100" s="190"/>
      <c r="BU100" s="190"/>
      <c r="BV100" s="190"/>
      <c r="BW100" s="190"/>
      <c r="BX100" s="190"/>
      <c r="BY100" s="190"/>
      <c r="BZ100" s="190"/>
      <c r="CA100" s="190"/>
      <c r="CB100" s="190"/>
      <c r="CC100" s="190"/>
      <c r="CD100" s="190"/>
      <c r="CE100" s="190"/>
      <c r="CF100" s="44"/>
      <c r="CG100" s="396"/>
      <c r="CH100" s="396"/>
      <c r="CI100" s="396"/>
      <c r="CJ100" s="396"/>
      <c r="CK100" s="396"/>
      <c r="CL100" s="396"/>
      <c r="CM100" s="396"/>
      <c r="CN100" s="396"/>
      <c r="CO100" s="396"/>
      <c r="CP100" s="396"/>
      <c r="CQ100" s="396"/>
      <c r="CR100" s="396"/>
      <c r="CS100" s="396"/>
      <c r="CT100" s="396"/>
      <c r="CU100" s="396"/>
      <c r="CV100" s="190"/>
      <c r="CW100" s="190"/>
      <c r="CX100" s="190"/>
      <c r="CY100" s="44"/>
      <c r="CZ100" s="171"/>
      <c r="DI100" s="93"/>
      <c r="DJ100" s="93"/>
      <c r="DK100" s="275"/>
      <c r="DL100" s="275"/>
      <c r="DM100" s="275"/>
      <c r="DN100" s="275"/>
      <c r="DO100" s="275"/>
      <c r="DP100" s="275"/>
      <c r="DW100" s="17"/>
      <c r="DX100" s="17"/>
      <c r="DY100" s="17"/>
      <c r="DZ100" s="17"/>
    </row>
    <row r="101" spans="1:130" ht="15" customHeight="1" x14ac:dyDescent="0.2">
      <c r="A101" s="508"/>
      <c r="B101" s="508"/>
      <c r="C101" s="508"/>
      <c r="D101" s="245"/>
      <c r="F101" s="18"/>
      <c r="G101" s="498"/>
      <c r="H101" s="498"/>
      <c r="I101" s="498"/>
      <c r="J101" s="498"/>
      <c r="Q101" s="56"/>
      <c r="R101" s="54"/>
      <c r="S101" s="22"/>
      <c r="T101" s="123"/>
      <c r="U101" s="123"/>
      <c r="V101" s="54"/>
      <c r="W101" s="165"/>
      <c r="X101" s="165"/>
      <c r="AE101" s="163"/>
      <c r="AF101" s="268">
        <f>AF99/AF97</f>
        <v>0.5</v>
      </c>
      <c r="AG101" s="187" t="s">
        <v>556</v>
      </c>
      <c r="AH101" s="135"/>
      <c r="AK101" s="1"/>
      <c r="AN101" s="130"/>
      <c r="AP101" s="136"/>
      <c r="AY101" s="130"/>
      <c r="AZ101" s="136"/>
      <c r="BA101" s="412"/>
      <c r="BB101" s="412"/>
      <c r="BC101" s="412"/>
      <c r="BD101" s="412"/>
      <c r="BE101" s="412"/>
      <c r="BF101" s="412"/>
      <c r="BG101" s="412"/>
      <c r="BH101" s="412"/>
      <c r="BI101" s="412"/>
      <c r="BJ101" s="412"/>
      <c r="BK101" s="412"/>
      <c r="BL101" s="412"/>
      <c r="BM101" s="412"/>
      <c r="BN101" s="412"/>
      <c r="BO101" s="412"/>
      <c r="BQ101" s="393" t="s">
        <v>588</v>
      </c>
      <c r="BR101" s="393"/>
      <c r="BS101" s="393"/>
      <c r="BT101" s="393"/>
      <c r="BU101" s="393"/>
      <c r="BV101" s="393"/>
      <c r="BW101" s="393"/>
      <c r="BX101" s="393"/>
      <c r="BY101" s="393"/>
      <c r="BZ101" s="393"/>
      <c r="CA101" s="393"/>
      <c r="CB101" s="393"/>
      <c r="CC101" s="393"/>
      <c r="CD101" s="393"/>
      <c r="CE101" s="393"/>
      <c r="CF101" s="44"/>
      <c r="CV101" s="44"/>
      <c r="CW101" s="44"/>
      <c r="CX101" s="44"/>
      <c r="CY101" s="44"/>
      <c r="CZ101" s="39"/>
      <c r="DI101" s="171"/>
      <c r="DJ101" s="171"/>
      <c r="DK101" s="275"/>
      <c r="DL101" s="275"/>
      <c r="DM101" s="275"/>
      <c r="DN101" s="275"/>
      <c r="DO101" s="275"/>
      <c r="DP101" s="275"/>
      <c r="DW101" s="17"/>
      <c r="DX101" s="17"/>
      <c r="DY101" s="17"/>
      <c r="DZ101" s="17"/>
    </row>
    <row r="102" spans="1:130" ht="15.75" customHeight="1" x14ac:dyDescent="0.2">
      <c r="A102" s="508"/>
      <c r="B102" s="508"/>
      <c r="C102" s="508"/>
      <c r="D102" s="245"/>
      <c r="F102" s="18"/>
      <c r="G102" s="498"/>
      <c r="H102" s="498"/>
      <c r="I102" s="498"/>
      <c r="J102" s="498"/>
      <c r="Q102" s="484" t="s">
        <v>511</v>
      </c>
      <c r="R102" s="484"/>
      <c r="S102" s="30"/>
      <c r="T102" s="547" t="s">
        <v>512</v>
      </c>
      <c r="U102" s="547"/>
      <c r="V102" s="54"/>
      <c r="W102" s="489" t="s">
        <v>654</v>
      </c>
      <c r="X102" s="489"/>
      <c r="AH102" s="135"/>
      <c r="AI102" s="409" t="s">
        <v>709</v>
      </c>
      <c r="AJ102" s="409"/>
      <c r="AK102" s="409"/>
      <c r="AL102" s="409"/>
      <c r="AM102" s="409"/>
      <c r="AN102" s="409"/>
      <c r="AO102" s="409"/>
      <c r="AP102" s="409"/>
      <c r="AQ102" s="409"/>
      <c r="AR102" s="409"/>
      <c r="AS102" s="409"/>
      <c r="AT102" s="409"/>
      <c r="AU102" s="409"/>
      <c r="AV102" s="409"/>
      <c r="AW102" s="409"/>
      <c r="AX102" s="409"/>
      <c r="AY102" s="409"/>
      <c r="AZ102" s="136"/>
      <c r="BA102" s="412"/>
      <c r="BB102" s="412"/>
      <c r="BC102" s="412"/>
      <c r="BD102" s="412"/>
      <c r="BE102" s="412"/>
      <c r="BF102" s="412"/>
      <c r="BG102" s="412"/>
      <c r="BH102" s="412"/>
      <c r="BI102" s="412"/>
      <c r="BJ102" s="412"/>
      <c r="BK102" s="412"/>
      <c r="BL102" s="412"/>
      <c r="BM102" s="412"/>
      <c r="BN102" s="412"/>
      <c r="BO102" s="412"/>
      <c r="BP102" s="191"/>
      <c r="BQ102" s="393"/>
      <c r="BR102" s="393"/>
      <c r="BS102" s="393"/>
      <c r="BT102" s="393"/>
      <c r="BU102" s="393"/>
      <c r="BV102" s="393"/>
      <c r="BW102" s="393"/>
      <c r="BX102" s="393"/>
      <c r="BY102" s="393"/>
      <c r="BZ102" s="393"/>
      <c r="CA102" s="393"/>
      <c r="CB102" s="393"/>
      <c r="CC102" s="393"/>
      <c r="CD102" s="393"/>
      <c r="CE102" s="393"/>
      <c r="CF102" s="189"/>
      <c r="CG102" s="394" t="s">
        <v>713</v>
      </c>
      <c r="CH102" s="394"/>
      <c r="CI102" s="394"/>
      <c r="CJ102" s="394"/>
      <c r="CK102" s="394"/>
      <c r="CL102" s="394"/>
      <c r="CM102" s="394"/>
      <c r="CN102" s="394"/>
      <c r="CO102" s="394"/>
      <c r="CP102" s="394"/>
      <c r="CQ102" s="394"/>
      <c r="CR102" s="394"/>
      <c r="CS102" s="394"/>
      <c r="CT102" s="394"/>
      <c r="CU102" s="394"/>
      <c r="CV102" s="189"/>
      <c r="CW102" s="189"/>
      <c r="CX102" s="189"/>
      <c r="CY102" s="189"/>
      <c r="CZ102" s="189"/>
      <c r="DI102" s="93"/>
      <c r="DJ102" s="93"/>
      <c r="DK102" s="275"/>
      <c r="DL102" s="275"/>
      <c r="DM102" s="275"/>
      <c r="DN102" s="275"/>
      <c r="DO102" s="275"/>
      <c r="DP102" s="275"/>
      <c r="DW102" s="17"/>
      <c r="DX102" s="17"/>
      <c r="DY102" s="17"/>
      <c r="DZ102" s="17"/>
    </row>
    <row r="103" spans="1:130" ht="15.75" customHeight="1" x14ac:dyDescent="0.2">
      <c r="A103" s="508"/>
      <c r="B103" s="508"/>
      <c r="C103" s="508"/>
      <c r="D103" s="245"/>
      <c r="F103" s="18"/>
      <c r="G103" s="498"/>
      <c r="H103" s="498"/>
      <c r="I103" s="498"/>
      <c r="J103" s="498"/>
      <c r="Q103" s="346">
        <v>0.75</v>
      </c>
      <c r="R103" s="346">
        <v>0.5</v>
      </c>
      <c r="S103" s="30"/>
      <c r="T103" s="346">
        <v>4</v>
      </c>
      <c r="U103" s="346">
        <v>1</v>
      </c>
      <c r="V103" s="54"/>
      <c r="W103" s="207" t="s">
        <v>6</v>
      </c>
      <c r="X103" s="206" t="s">
        <v>7</v>
      </c>
      <c r="AE103" s="165"/>
      <c r="AF103" s="170"/>
      <c r="AG103" s="170"/>
      <c r="AH103" s="135"/>
      <c r="AK103" s="1"/>
      <c r="AN103" s="130"/>
      <c r="AP103" s="136"/>
      <c r="AY103" s="130"/>
      <c r="AZ103" s="136"/>
      <c r="BA103" s="412"/>
      <c r="BB103" s="412"/>
      <c r="BC103" s="412"/>
      <c r="BD103" s="412"/>
      <c r="BE103" s="412"/>
      <c r="BF103" s="412"/>
      <c r="BG103" s="412"/>
      <c r="BH103" s="412"/>
      <c r="BI103" s="412"/>
      <c r="BJ103" s="412"/>
      <c r="BK103" s="412"/>
      <c r="BL103" s="412"/>
      <c r="BM103" s="412"/>
      <c r="BN103" s="412"/>
      <c r="BO103" s="412"/>
      <c r="BQ103" s="393"/>
      <c r="BR103" s="393"/>
      <c r="BS103" s="393"/>
      <c r="BT103" s="393"/>
      <c r="BU103" s="393"/>
      <c r="BV103" s="393"/>
      <c r="BW103" s="393"/>
      <c r="BX103" s="393"/>
      <c r="BY103" s="393"/>
      <c r="BZ103" s="393"/>
      <c r="CA103" s="393"/>
      <c r="CB103" s="393"/>
      <c r="CC103" s="393"/>
      <c r="CD103" s="393"/>
      <c r="CE103" s="393"/>
      <c r="CF103" s="189"/>
      <c r="CG103" s="169"/>
      <c r="CH103" s="169"/>
      <c r="CI103" s="169"/>
      <c r="CJ103" s="169"/>
      <c r="CK103" s="169"/>
      <c r="CL103" s="169"/>
      <c r="CM103" s="169"/>
      <c r="CN103" s="169"/>
      <c r="CO103" s="169"/>
      <c r="CP103" s="169"/>
      <c r="CQ103" s="169"/>
      <c r="CR103" s="169"/>
      <c r="CS103" s="169"/>
      <c r="CT103" s="169"/>
      <c r="CU103" s="169"/>
      <c r="CV103" s="189"/>
      <c r="CW103" s="189"/>
      <c r="CX103" s="189"/>
      <c r="CY103" s="189"/>
      <c r="CZ103" s="189"/>
      <c r="DK103" s="275"/>
      <c r="DL103" s="275"/>
      <c r="DM103" s="275"/>
      <c r="DN103" s="275"/>
      <c r="DO103" s="275"/>
      <c r="DP103" s="275"/>
      <c r="DW103" s="17"/>
      <c r="DX103" s="17"/>
      <c r="DY103" s="17"/>
      <c r="DZ103" s="17"/>
    </row>
    <row r="104" spans="1:130" ht="15.75" customHeight="1" x14ac:dyDescent="0.2">
      <c r="A104" s="508"/>
      <c r="B104" s="508"/>
      <c r="C104" s="508"/>
      <c r="D104" s="245"/>
      <c r="F104" s="18"/>
      <c r="G104" s="498"/>
      <c r="H104" s="498"/>
      <c r="I104" s="498"/>
      <c r="J104" s="498"/>
      <c r="Q104" s="141"/>
      <c r="R104" s="162"/>
      <c r="S104" s="30"/>
      <c r="T104" s="165"/>
      <c r="U104" s="165"/>
      <c r="V104" s="54"/>
      <c r="W104" s="490" t="s">
        <v>653</v>
      </c>
      <c r="X104" s="490"/>
      <c r="AE104" s="489"/>
      <c r="AF104" s="489"/>
      <c r="AG104" s="170"/>
      <c r="AH104" s="135"/>
      <c r="AI104" s="409" t="s">
        <v>710</v>
      </c>
      <c r="AJ104" s="409"/>
      <c r="AK104" s="409"/>
      <c r="AL104" s="409"/>
      <c r="AM104" s="409"/>
      <c r="AN104" s="409"/>
      <c r="AO104" s="409"/>
      <c r="AP104" s="409"/>
      <c r="AQ104" s="409"/>
      <c r="AR104" s="409"/>
      <c r="AS104" s="409"/>
      <c r="AT104" s="409"/>
      <c r="AU104" s="409"/>
      <c r="AV104" s="409"/>
      <c r="AW104" s="409"/>
      <c r="AX104" s="409"/>
      <c r="AY104" s="409"/>
      <c r="AZ104" s="136"/>
      <c r="BA104" s="412"/>
      <c r="BB104" s="412"/>
      <c r="BC104" s="412"/>
      <c r="BD104" s="412"/>
      <c r="BE104" s="412"/>
      <c r="BF104" s="412"/>
      <c r="BG104" s="412"/>
      <c r="BH104" s="412"/>
      <c r="BI104" s="412"/>
      <c r="BJ104" s="412"/>
      <c r="BK104" s="412"/>
      <c r="BL104" s="412"/>
      <c r="BM104" s="412"/>
      <c r="BN104" s="412"/>
      <c r="BO104" s="412"/>
      <c r="BQ104" s="191"/>
      <c r="BR104" s="191"/>
      <c r="BS104" s="191"/>
      <c r="BT104" s="191"/>
      <c r="BU104" s="191"/>
      <c r="BV104" s="191"/>
      <c r="BW104" s="191"/>
      <c r="BX104" s="191"/>
      <c r="BY104" s="191"/>
      <c r="BZ104" s="191"/>
      <c r="CA104" s="191"/>
      <c r="CB104" s="191"/>
      <c r="CC104" s="191"/>
      <c r="CD104" s="191"/>
      <c r="CE104" s="191"/>
      <c r="CF104" s="189"/>
      <c r="CG104" s="395" t="s">
        <v>714</v>
      </c>
      <c r="CH104" s="395"/>
      <c r="CI104" s="395"/>
      <c r="CJ104" s="395"/>
      <c r="CK104" s="395"/>
      <c r="CL104" s="395"/>
      <c r="CM104" s="395"/>
      <c r="CN104" s="395"/>
      <c r="CO104" s="395"/>
      <c r="CP104" s="395"/>
      <c r="CQ104" s="395"/>
      <c r="CR104" s="395"/>
      <c r="CS104" s="395"/>
      <c r="CT104" s="395"/>
      <c r="CU104" s="395"/>
      <c r="CY104" s="189"/>
      <c r="CZ104" s="189"/>
      <c r="DI104" s="169"/>
      <c r="DJ104" s="169"/>
      <c r="DK104" s="275"/>
      <c r="DL104" s="275"/>
      <c r="DM104" s="275"/>
      <c r="DN104" s="275"/>
      <c r="DO104" s="275"/>
      <c r="DP104" s="275"/>
      <c r="DW104" s="17"/>
      <c r="DX104" s="17"/>
      <c r="DY104" s="17"/>
      <c r="DZ104" s="17"/>
    </row>
    <row r="105" spans="1:130" ht="15.75" customHeight="1" x14ac:dyDescent="0.2">
      <c r="A105" s="508"/>
      <c r="B105" s="508"/>
      <c r="C105" s="508"/>
      <c r="D105" s="245"/>
      <c r="F105" s="18"/>
      <c r="G105" s="498"/>
      <c r="H105" s="498"/>
      <c r="I105" s="498"/>
      <c r="J105" s="498"/>
      <c r="Q105" s="580" t="s">
        <v>114</v>
      </c>
      <c r="R105" s="580"/>
      <c r="S105" s="580"/>
      <c r="T105" s="580"/>
      <c r="U105" s="580"/>
      <c r="V105" s="54"/>
      <c r="W105" s="266">
        <v>200</v>
      </c>
      <c r="X105" s="266">
        <v>300</v>
      </c>
      <c r="Z105" s="554" t="s">
        <v>361</v>
      </c>
      <c r="AA105" s="554"/>
      <c r="AB105" s="554"/>
      <c r="AE105" s="165"/>
      <c r="AF105" s="170"/>
      <c r="AG105" s="170"/>
      <c r="AH105" s="135"/>
      <c r="AK105" s="1"/>
      <c r="AN105" s="130"/>
      <c r="AP105" s="136"/>
      <c r="AY105" s="130"/>
      <c r="AZ105" s="136"/>
      <c r="BB105" s="134"/>
      <c r="BC105" s="1"/>
      <c r="BI105" s="130"/>
      <c r="BM105" s="139"/>
      <c r="BQ105" s="393" t="s">
        <v>598</v>
      </c>
      <c r="BR105" s="393"/>
      <c r="BS105" s="393"/>
      <c r="BT105" s="393"/>
      <c r="BU105" s="393"/>
      <c r="BV105" s="393"/>
      <c r="BW105" s="393"/>
      <c r="BX105" s="393"/>
      <c r="BY105" s="393"/>
      <c r="BZ105" s="393"/>
      <c r="CA105" s="393"/>
      <c r="CB105" s="393"/>
      <c r="CC105" s="393"/>
      <c r="CD105" s="393"/>
      <c r="CE105" s="393"/>
      <c r="CF105" s="189"/>
      <c r="CG105" s="395"/>
      <c r="CH105" s="395"/>
      <c r="CI105" s="395"/>
      <c r="CJ105" s="395"/>
      <c r="CK105" s="395"/>
      <c r="CL105" s="395"/>
      <c r="CM105" s="395"/>
      <c r="CN105" s="395"/>
      <c r="CO105" s="395"/>
      <c r="CP105" s="395"/>
      <c r="CQ105" s="395"/>
      <c r="CR105" s="395"/>
      <c r="CS105" s="395"/>
      <c r="CT105" s="395"/>
      <c r="CU105" s="395"/>
      <c r="CV105" s="189"/>
      <c r="CW105" s="189"/>
      <c r="CX105" s="189"/>
      <c r="CY105" s="189"/>
      <c r="CZ105" s="189"/>
      <c r="DI105" s="169"/>
      <c r="DJ105" s="169"/>
      <c r="DK105" s="275"/>
      <c r="DL105" s="275"/>
      <c r="DM105" s="275"/>
      <c r="DN105" s="275"/>
      <c r="DO105" s="275"/>
      <c r="DP105" s="275"/>
      <c r="DW105" s="17"/>
      <c r="DX105" s="17"/>
      <c r="DY105" s="17"/>
      <c r="DZ105" s="17"/>
    </row>
    <row r="106" spans="1:130" ht="15" customHeight="1" x14ac:dyDescent="0.2">
      <c r="A106" s="508"/>
      <c r="B106" s="508"/>
      <c r="C106" s="508"/>
      <c r="D106" s="245"/>
      <c r="F106" s="18"/>
      <c r="G106" s="498"/>
      <c r="H106" s="498"/>
      <c r="I106" s="498"/>
      <c r="J106" s="498"/>
      <c r="Q106" s="578" t="s">
        <v>0</v>
      </c>
      <c r="R106" s="541"/>
      <c r="S106" s="27"/>
      <c r="T106" s="541" t="s">
        <v>648</v>
      </c>
      <c r="U106" s="578"/>
      <c r="V106" s="54"/>
      <c r="Z106" s="596" t="s">
        <v>566</v>
      </c>
      <c r="AA106" s="596"/>
      <c r="AB106" s="596"/>
      <c r="AE106" s="165"/>
      <c r="AF106" s="170"/>
      <c r="AG106" s="170"/>
      <c r="AH106" s="135"/>
      <c r="AI106" s="395" t="s">
        <v>627</v>
      </c>
      <c r="AJ106" s="395"/>
      <c r="AK106" s="395"/>
      <c r="AL106" s="395"/>
      <c r="AM106" s="395"/>
      <c r="AN106" s="395"/>
      <c r="AO106" s="395"/>
      <c r="AP106" s="395"/>
      <c r="AQ106" s="395"/>
      <c r="AR106" s="395"/>
      <c r="AS106" s="395"/>
      <c r="AT106" s="395"/>
      <c r="AU106" s="395"/>
      <c r="AV106" s="395"/>
      <c r="AW106" s="395"/>
      <c r="AX106" s="395"/>
      <c r="AY106" s="395"/>
      <c r="AZ106" s="136"/>
      <c r="BA106" s="410" t="s">
        <v>620</v>
      </c>
      <c r="BB106" s="410"/>
      <c r="BC106" s="410"/>
      <c r="BD106" s="410"/>
      <c r="BE106" s="410"/>
      <c r="BF106" s="410"/>
      <c r="BG106" s="410"/>
      <c r="BH106" s="410"/>
      <c r="BI106" s="410"/>
      <c r="BJ106" s="410"/>
      <c r="BK106" s="410"/>
      <c r="BL106" s="410"/>
      <c r="BM106" s="410"/>
      <c r="BN106" s="410"/>
      <c r="BO106" s="410"/>
      <c r="BQ106" s="393"/>
      <c r="BR106" s="393"/>
      <c r="BS106" s="393"/>
      <c r="BT106" s="393"/>
      <c r="BU106" s="393"/>
      <c r="BV106" s="393"/>
      <c r="BW106" s="393"/>
      <c r="BX106" s="393"/>
      <c r="BY106" s="393"/>
      <c r="BZ106" s="393"/>
      <c r="CA106" s="393"/>
      <c r="CB106" s="393"/>
      <c r="CC106" s="393"/>
      <c r="CD106" s="393"/>
      <c r="CE106" s="393"/>
      <c r="CF106" s="44"/>
      <c r="CG106" s="395"/>
      <c r="CH106" s="395"/>
      <c r="CI106" s="395"/>
      <c r="CJ106" s="395"/>
      <c r="CK106" s="395"/>
      <c r="CL106" s="395"/>
      <c r="CM106" s="395"/>
      <c r="CN106" s="395"/>
      <c r="CO106" s="395"/>
      <c r="CP106" s="395"/>
      <c r="CQ106" s="395"/>
      <c r="CR106" s="395"/>
      <c r="CS106" s="395"/>
      <c r="CT106" s="395"/>
      <c r="CU106" s="395"/>
      <c r="CV106" s="44"/>
      <c r="CW106" s="44"/>
      <c r="CX106" s="44"/>
      <c r="CY106" s="44"/>
      <c r="CZ106" s="39"/>
      <c r="DK106" s="275"/>
      <c r="DL106" s="275"/>
      <c r="DM106" s="275"/>
      <c r="DN106" s="275"/>
      <c r="DO106" s="275"/>
      <c r="DP106" s="275"/>
      <c r="DW106" s="17"/>
      <c r="DX106" s="17"/>
      <c r="DY106" s="17"/>
      <c r="DZ106" s="17"/>
    </row>
    <row r="107" spans="1:130" ht="12.75" customHeight="1" x14ac:dyDescent="0.2">
      <c r="A107" s="508"/>
      <c r="B107" s="508"/>
      <c r="C107" s="508"/>
      <c r="D107" s="245"/>
      <c r="F107" s="18"/>
      <c r="G107" s="498"/>
      <c r="H107" s="498"/>
      <c r="I107" s="498"/>
      <c r="J107" s="498"/>
      <c r="Q107" s="362">
        <v>1.52</v>
      </c>
      <c r="R107" s="360">
        <v>2</v>
      </c>
      <c r="S107" s="22"/>
      <c r="T107" s="361">
        <v>2</v>
      </c>
      <c r="U107" s="362">
        <v>0.3</v>
      </c>
      <c r="V107" s="54"/>
      <c r="W107" s="484" t="s">
        <v>692</v>
      </c>
      <c r="X107" s="484"/>
      <c r="Z107" s="597"/>
      <c r="AA107" s="597"/>
      <c r="AB107" s="597"/>
      <c r="AE107" s="165"/>
      <c r="AF107" s="170"/>
      <c r="AG107" s="170"/>
      <c r="AH107" s="135"/>
      <c r="AI107" s="395"/>
      <c r="AJ107" s="395"/>
      <c r="AK107" s="395"/>
      <c r="AL107" s="395"/>
      <c r="AM107" s="395"/>
      <c r="AN107" s="395"/>
      <c r="AO107" s="395"/>
      <c r="AP107" s="395"/>
      <c r="AQ107" s="395"/>
      <c r="AR107" s="395"/>
      <c r="AS107" s="395"/>
      <c r="AT107" s="395"/>
      <c r="AU107" s="395"/>
      <c r="AV107" s="395"/>
      <c r="AW107" s="395"/>
      <c r="AX107" s="395"/>
      <c r="AY107" s="395"/>
      <c r="AZ107" s="136"/>
      <c r="BB107" s="134"/>
      <c r="BC107" s="1"/>
      <c r="BI107" s="130"/>
      <c r="BM107" s="139"/>
      <c r="BQ107" s="393"/>
      <c r="BR107" s="393"/>
      <c r="BS107" s="393"/>
      <c r="BT107" s="393"/>
      <c r="BU107" s="393"/>
      <c r="BV107" s="393"/>
      <c r="BW107" s="393"/>
      <c r="BX107" s="393"/>
      <c r="BY107" s="393"/>
      <c r="BZ107" s="393"/>
      <c r="CA107" s="393"/>
      <c r="CB107" s="393"/>
      <c r="CC107" s="393"/>
      <c r="CD107" s="393"/>
      <c r="CE107" s="393"/>
      <c r="CF107" s="44"/>
      <c r="CG107" s="395"/>
      <c r="CH107" s="395"/>
      <c r="CI107" s="395"/>
      <c r="CJ107" s="395"/>
      <c r="CK107" s="395"/>
      <c r="CL107" s="395"/>
      <c r="CM107" s="395"/>
      <c r="CN107" s="395"/>
      <c r="CO107" s="395"/>
      <c r="CP107" s="395"/>
      <c r="CQ107" s="395"/>
      <c r="CR107" s="395"/>
      <c r="CS107" s="395"/>
      <c r="CT107" s="395"/>
      <c r="CU107" s="395"/>
      <c r="CV107" s="44"/>
      <c r="CW107" s="44"/>
      <c r="CX107" s="44"/>
      <c r="CY107" s="44"/>
      <c r="CZ107" s="39"/>
      <c r="DK107" s="275"/>
      <c r="DL107" s="275"/>
      <c r="DM107" s="275"/>
      <c r="DN107" s="275"/>
      <c r="DO107" s="275"/>
      <c r="DP107" s="275"/>
      <c r="DW107" s="17"/>
      <c r="DX107" s="17"/>
      <c r="DY107" s="17"/>
      <c r="DZ107" s="17"/>
    </row>
    <row r="108" spans="1:130" ht="15" customHeight="1" x14ac:dyDescent="0.2">
      <c r="A108" s="508"/>
      <c r="B108" s="508"/>
      <c r="C108" s="508"/>
      <c r="D108" s="245"/>
      <c r="F108" s="18"/>
      <c r="G108" s="498"/>
      <c r="H108" s="498"/>
      <c r="I108" s="498"/>
      <c r="J108" s="498"/>
      <c r="Q108" s="141"/>
      <c r="R108" s="162"/>
      <c r="S108" s="30"/>
      <c r="T108" s="165"/>
      <c r="U108" s="165"/>
      <c r="V108" s="54"/>
      <c r="W108" s="266">
        <v>100</v>
      </c>
      <c r="X108" s="266">
        <v>150</v>
      </c>
      <c r="Z108" s="597"/>
      <c r="AA108" s="597"/>
      <c r="AB108" s="597"/>
      <c r="AE108" s="165"/>
      <c r="AF108" s="170"/>
      <c r="AG108" s="170"/>
      <c r="AH108" s="135"/>
      <c r="AK108" s="1"/>
      <c r="AN108" s="130"/>
      <c r="AP108" s="136"/>
      <c r="AY108" s="130"/>
      <c r="AZ108" s="136"/>
      <c r="BA108" s="412" t="s">
        <v>711</v>
      </c>
      <c r="BB108" s="412"/>
      <c r="BC108" s="412"/>
      <c r="BD108" s="412"/>
      <c r="BE108" s="412"/>
      <c r="BF108" s="412"/>
      <c r="BG108" s="412"/>
      <c r="BH108" s="412"/>
      <c r="BI108" s="412"/>
      <c r="BJ108" s="412"/>
      <c r="BK108" s="412"/>
      <c r="BL108" s="412"/>
      <c r="BM108" s="412"/>
      <c r="BN108" s="412"/>
      <c r="BO108" s="412"/>
      <c r="CF108" s="44"/>
      <c r="CG108" s="395"/>
      <c r="CH108" s="395"/>
      <c r="CI108" s="395"/>
      <c r="CJ108" s="395"/>
      <c r="CK108" s="395"/>
      <c r="CL108" s="395"/>
      <c r="CM108" s="395"/>
      <c r="CN108" s="395"/>
      <c r="CO108" s="395"/>
      <c r="CP108" s="395"/>
      <c r="CQ108" s="395"/>
      <c r="CR108" s="395"/>
      <c r="CS108" s="395"/>
      <c r="CT108" s="395"/>
      <c r="CU108" s="395"/>
      <c r="CY108" s="44"/>
      <c r="CZ108" s="39"/>
      <c r="DI108" s="16"/>
      <c r="DJ108" s="16"/>
      <c r="DK108" s="275"/>
      <c r="DL108" s="275"/>
      <c r="DM108" s="275"/>
      <c r="DN108" s="275"/>
      <c r="DO108" s="275"/>
      <c r="DP108" s="275"/>
      <c r="DW108" s="17"/>
      <c r="DX108" s="17"/>
      <c r="DY108" s="17"/>
      <c r="DZ108" s="17"/>
    </row>
    <row r="109" spans="1:130" ht="15" customHeight="1" x14ac:dyDescent="0.2">
      <c r="A109" s="508"/>
      <c r="B109" s="508"/>
      <c r="C109" s="508"/>
      <c r="D109" s="245"/>
      <c r="F109" s="18"/>
      <c r="G109" s="498"/>
      <c r="H109" s="498"/>
      <c r="I109" s="498"/>
      <c r="J109" s="498"/>
      <c r="Q109" s="541" t="s">
        <v>243</v>
      </c>
      <c r="R109" s="541"/>
      <c r="S109" s="7"/>
      <c r="T109" s="54"/>
      <c r="U109" s="54"/>
      <c r="V109" s="54"/>
      <c r="W109" s="1"/>
      <c r="X109" s="1"/>
      <c r="Z109" s="597"/>
      <c r="AA109" s="597"/>
      <c r="AB109" s="597"/>
      <c r="AE109" s="165"/>
      <c r="AF109" s="170"/>
      <c r="AG109" s="170"/>
      <c r="AH109" s="135"/>
      <c r="AI109" s="409" t="s">
        <v>626</v>
      </c>
      <c r="AJ109" s="409"/>
      <c r="AK109" s="409"/>
      <c r="AL109" s="409"/>
      <c r="AM109" s="409"/>
      <c r="AN109" s="409"/>
      <c r="AO109" s="409"/>
      <c r="AP109" s="409"/>
      <c r="AQ109" s="409"/>
      <c r="AR109" s="409"/>
      <c r="AS109" s="409"/>
      <c r="AT109" s="409"/>
      <c r="AU109" s="409"/>
      <c r="AV109" s="409"/>
      <c r="AW109" s="409"/>
      <c r="AX109" s="409"/>
      <c r="AY109" s="409"/>
      <c r="AZ109" s="136"/>
      <c r="BB109" s="134"/>
      <c r="BC109" s="1"/>
      <c r="BI109" s="130"/>
      <c r="BM109" s="139"/>
      <c r="BQ109" s="396" t="s">
        <v>621</v>
      </c>
      <c r="BR109" s="396"/>
      <c r="BS109" s="396"/>
      <c r="BT109" s="396"/>
      <c r="BU109" s="396"/>
      <c r="BV109" s="396"/>
      <c r="BW109" s="396"/>
      <c r="BX109" s="396"/>
      <c r="BY109" s="396"/>
      <c r="BZ109" s="396"/>
      <c r="CA109" s="396"/>
      <c r="CB109" s="396"/>
      <c r="CC109" s="396"/>
      <c r="CD109" s="396"/>
      <c r="CE109" s="396"/>
      <c r="CF109" s="169"/>
      <c r="CG109" s="93"/>
      <c r="CH109" s="93"/>
      <c r="CI109" s="93"/>
      <c r="CJ109" s="93"/>
      <c r="CK109" s="93"/>
      <c r="CL109" s="93"/>
      <c r="CM109" s="93"/>
      <c r="CN109" s="93"/>
      <c r="CO109" s="93"/>
      <c r="CP109" s="93"/>
      <c r="CQ109" s="93"/>
      <c r="CR109" s="93"/>
      <c r="CS109" s="93"/>
      <c r="CT109" s="93"/>
      <c r="CU109" s="93"/>
      <c r="CV109" s="44"/>
      <c r="CW109" s="44"/>
      <c r="CX109" s="44"/>
      <c r="CY109" s="44"/>
      <c r="CZ109" s="39"/>
      <c r="DI109" s="16"/>
      <c r="DJ109" s="16"/>
      <c r="DK109" s="275"/>
      <c r="DL109" s="275"/>
      <c r="DM109" s="275"/>
      <c r="DN109" s="275"/>
      <c r="DO109" s="275"/>
      <c r="DP109" s="275"/>
      <c r="DW109" s="17"/>
      <c r="DX109" s="17"/>
      <c r="DY109" s="17"/>
      <c r="DZ109" s="17"/>
    </row>
    <row r="110" spans="1:130" ht="12.75" customHeight="1" x14ac:dyDescent="0.2">
      <c r="A110" s="508"/>
      <c r="B110" s="508"/>
      <c r="C110" s="508"/>
      <c r="D110" s="245"/>
      <c r="F110" s="18"/>
      <c r="G110" s="498"/>
      <c r="H110" s="498"/>
      <c r="I110" s="498"/>
      <c r="J110" s="498"/>
      <c r="Q110" s="346">
        <v>40</v>
      </c>
      <c r="R110" s="346">
        <v>8</v>
      </c>
      <c r="S110" s="27"/>
      <c r="T110" s="54"/>
      <c r="U110" s="54"/>
      <c r="V110" s="54"/>
      <c r="W110" s="590" t="s">
        <v>701</v>
      </c>
      <c r="X110" s="590"/>
      <c r="AE110" s="165"/>
      <c r="AF110" s="170"/>
      <c r="AG110" s="170"/>
      <c r="AH110" s="135"/>
      <c r="AI110" s="409"/>
      <c r="AJ110" s="409"/>
      <c r="AK110" s="409"/>
      <c r="AL110" s="409"/>
      <c r="AM110" s="409"/>
      <c r="AN110" s="409"/>
      <c r="AO110" s="409"/>
      <c r="AP110" s="409"/>
      <c r="AQ110" s="409"/>
      <c r="AR110" s="409"/>
      <c r="AS110" s="409"/>
      <c r="AT110" s="409"/>
      <c r="AU110" s="409"/>
      <c r="AV110" s="409"/>
      <c r="AW110" s="409"/>
      <c r="AX110" s="409"/>
      <c r="AY110" s="409"/>
      <c r="AZ110" s="136"/>
      <c r="BA110" s="598" t="s">
        <v>715</v>
      </c>
      <c r="BB110" s="598"/>
      <c r="BC110" s="598"/>
      <c r="BD110" s="598"/>
      <c r="BE110" s="598"/>
      <c r="BF110" s="598"/>
      <c r="BG110" s="598"/>
      <c r="BH110" s="598"/>
      <c r="BI110" s="598"/>
      <c r="BJ110" s="598"/>
      <c r="BK110" s="598"/>
      <c r="BL110" s="598"/>
      <c r="BM110" s="598"/>
      <c r="BN110" s="598"/>
      <c r="BO110" s="598"/>
      <c r="BQ110" s="396"/>
      <c r="BR110" s="396"/>
      <c r="BS110" s="396"/>
      <c r="BT110" s="396"/>
      <c r="BU110" s="396"/>
      <c r="BV110" s="396"/>
      <c r="BW110" s="396"/>
      <c r="BX110" s="396"/>
      <c r="BY110" s="396"/>
      <c r="BZ110" s="396"/>
      <c r="CA110" s="396"/>
      <c r="CB110" s="396"/>
      <c r="CC110" s="396"/>
      <c r="CD110" s="396"/>
      <c r="CE110" s="396"/>
      <c r="CF110" s="169"/>
      <c r="CG110" s="391" t="s">
        <v>718</v>
      </c>
      <c r="CH110" s="391"/>
      <c r="CI110" s="391"/>
      <c r="CJ110" s="391"/>
      <c r="CK110" s="391"/>
      <c r="CL110" s="391"/>
      <c r="CM110" s="391"/>
      <c r="CN110" s="391"/>
      <c r="CO110" s="391"/>
      <c r="CP110" s="391"/>
      <c r="CQ110" s="391"/>
      <c r="CR110" s="391"/>
      <c r="CS110" s="391"/>
      <c r="CT110" s="391"/>
      <c r="CU110" s="391"/>
      <c r="CV110" s="44"/>
      <c r="CW110" s="44"/>
      <c r="CX110" s="44"/>
      <c r="CY110" s="44"/>
      <c r="CZ110" s="39"/>
      <c r="DI110" s="16"/>
      <c r="DJ110" s="16"/>
      <c r="DK110" s="275"/>
      <c r="DL110" s="275"/>
      <c r="DM110" s="275"/>
      <c r="DN110" s="275"/>
      <c r="DO110" s="275"/>
      <c r="DP110" s="275"/>
      <c r="DW110" s="17"/>
      <c r="DX110" s="17"/>
      <c r="DY110" s="17"/>
      <c r="DZ110" s="17"/>
    </row>
    <row r="111" spans="1:130" ht="15" customHeight="1" x14ac:dyDescent="0.2">
      <c r="A111" s="508"/>
      <c r="B111" s="508"/>
      <c r="C111" s="508"/>
      <c r="D111" s="245"/>
      <c r="F111" s="295"/>
      <c r="G111" s="498"/>
      <c r="H111" s="498"/>
      <c r="I111" s="498"/>
      <c r="J111" s="498"/>
      <c r="Q111" s="141"/>
      <c r="R111" s="162"/>
      <c r="S111" s="22"/>
      <c r="T111" s="54"/>
      <c r="U111" s="54"/>
      <c r="V111" s="54"/>
      <c r="W111" s="542"/>
      <c r="X111" s="542"/>
      <c r="Z111" s="39" t="s">
        <v>361</v>
      </c>
      <c r="AA111" s="352">
        <v>250000</v>
      </c>
      <c r="AB111" s="44" t="s">
        <v>509</v>
      </c>
      <c r="AE111" s="165"/>
      <c r="AF111" s="170"/>
      <c r="AG111" s="170"/>
      <c r="AH111" s="135"/>
      <c r="AK111" s="1"/>
      <c r="AN111" s="130"/>
      <c r="AP111" s="136"/>
      <c r="AY111" s="130"/>
      <c r="AZ111" s="136"/>
      <c r="BA111" s="598"/>
      <c r="BB111" s="598"/>
      <c r="BC111" s="598"/>
      <c r="BD111" s="598"/>
      <c r="BE111" s="598"/>
      <c r="BF111" s="598"/>
      <c r="BG111" s="598"/>
      <c r="BH111" s="598"/>
      <c r="BI111" s="598"/>
      <c r="BJ111" s="598"/>
      <c r="BK111" s="598"/>
      <c r="BL111" s="598"/>
      <c r="BM111" s="598"/>
      <c r="BN111" s="598"/>
      <c r="BO111" s="598"/>
      <c r="CF111" s="44"/>
      <c r="CG111" s="391"/>
      <c r="CH111" s="391"/>
      <c r="CI111" s="391"/>
      <c r="CJ111" s="391"/>
      <c r="CK111" s="391"/>
      <c r="CL111" s="391"/>
      <c r="CM111" s="391"/>
      <c r="CN111" s="391"/>
      <c r="CO111" s="391"/>
      <c r="CP111" s="391"/>
      <c r="CQ111" s="391"/>
      <c r="CR111" s="391"/>
      <c r="CS111" s="391"/>
      <c r="CT111" s="391"/>
      <c r="CU111" s="391"/>
      <c r="CY111" s="44"/>
      <c r="CZ111" s="39"/>
      <c r="DI111" s="16"/>
      <c r="DJ111" s="16"/>
      <c r="DK111" s="275"/>
      <c r="DL111" s="275"/>
      <c r="DM111" s="275"/>
      <c r="DN111" s="275"/>
      <c r="DO111" s="275"/>
      <c r="DP111" s="275"/>
      <c r="DW111" s="17"/>
      <c r="DX111" s="17"/>
      <c r="DY111" s="17"/>
      <c r="DZ111" s="17"/>
    </row>
    <row r="112" spans="1:130" ht="15" customHeight="1" x14ac:dyDescent="0.2">
      <c r="A112" s="508"/>
      <c r="B112" s="508"/>
      <c r="C112" s="508"/>
      <c r="D112" s="245"/>
      <c r="F112" s="16"/>
      <c r="G112" s="498"/>
      <c r="H112" s="498"/>
      <c r="I112" s="498"/>
      <c r="J112" s="498"/>
      <c r="Q112" s="541" t="s">
        <v>25</v>
      </c>
      <c r="R112" s="541"/>
      <c r="S112" s="22"/>
      <c r="T112" s="546" t="s">
        <v>27</v>
      </c>
      <c r="U112" s="546"/>
      <c r="V112" s="54"/>
      <c r="W112" s="346">
        <v>26.25</v>
      </c>
      <c r="X112" s="346">
        <v>6</v>
      </c>
      <c r="Y112" s="165"/>
      <c r="Z112" s="165"/>
      <c r="AA112" s="170"/>
      <c r="AB112" s="170"/>
      <c r="AC112" s="170"/>
      <c r="AD112" s="165"/>
      <c r="AE112" s="165"/>
      <c r="AF112" s="170"/>
      <c r="AG112" s="170"/>
      <c r="AH112" s="165"/>
      <c r="AI112" s="411" t="s">
        <v>581</v>
      </c>
      <c r="AJ112" s="411"/>
      <c r="AK112" s="411"/>
      <c r="AL112" s="411"/>
      <c r="AM112" s="411"/>
      <c r="AN112" s="411"/>
      <c r="AO112" s="411"/>
      <c r="AP112" s="411"/>
      <c r="AQ112" s="411"/>
      <c r="AR112" s="411"/>
      <c r="AS112" s="411"/>
      <c r="AT112" s="411"/>
      <c r="AU112" s="411"/>
      <c r="AV112" s="411"/>
      <c r="AW112" s="411"/>
      <c r="AX112" s="411"/>
      <c r="AY112" s="411"/>
      <c r="AZ112" s="136"/>
      <c r="BA112" s="598"/>
      <c r="BB112" s="598"/>
      <c r="BC112" s="598"/>
      <c r="BD112" s="598"/>
      <c r="BE112" s="598"/>
      <c r="BF112" s="598"/>
      <c r="BG112" s="598"/>
      <c r="BH112" s="598"/>
      <c r="BI112" s="598"/>
      <c r="BJ112" s="598"/>
      <c r="BK112" s="598"/>
      <c r="BL112" s="598"/>
      <c r="BM112" s="598"/>
      <c r="BN112" s="598"/>
      <c r="BO112" s="598"/>
      <c r="BP112" s="44"/>
      <c r="BQ112" s="392" t="s">
        <v>763</v>
      </c>
      <c r="BR112" s="392"/>
      <c r="BS112" s="392"/>
      <c r="BT112" s="392"/>
      <c r="BU112" s="392"/>
      <c r="BV112" s="392"/>
      <c r="BW112" s="392"/>
      <c r="BX112" s="392"/>
      <c r="BY112" s="392"/>
      <c r="BZ112" s="392"/>
      <c r="CA112" s="392"/>
      <c r="CB112" s="392"/>
      <c r="CC112" s="392"/>
      <c r="CD112" s="392"/>
      <c r="CE112" s="392"/>
      <c r="CF112" s="44"/>
      <c r="CG112" s="391"/>
      <c r="CH112" s="391"/>
      <c r="CI112" s="391"/>
      <c r="CJ112" s="391"/>
      <c r="CK112" s="391"/>
      <c r="CL112" s="391"/>
      <c r="CM112" s="391"/>
      <c r="CN112" s="391"/>
      <c r="CO112" s="391"/>
      <c r="CP112" s="391"/>
      <c r="CQ112" s="391"/>
      <c r="CR112" s="391"/>
      <c r="CS112" s="391"/>
      <c r="CT112" s="391"/>
      <c r="CU112" s="391"/>
      <c r="CV112" s="44"/>
      <c r="CW112" s="44"/>
      <c r="CX112" s="44"/>
      <c r="CY112" s="44"/>
      <c r="CZ112" s="39"/>
      <c r="DI112" s="171"/>
      <c r="DJ112" s="171"/>
      <c r="DK112" s="275"/>
      <c r="DL112" s="275"/>
      <c r="DM112" s="275"/>
      <c r="DN112" s="275"/>
      <c r="DO112" s="275"/>
      <c r="DP112" s="275"/>
      <c r="DW112" s="17"/>
      <c r="DX112" s="17"/>
      <c r="DY112" s="17"/>
      <c r="DZ112" s="17"/>
    </row>
    <row r="113" spans="1:130" ht="15" customHeight="1" x14ac:dyDescent="0.2">
      <c r="A113" s="508"/>
      <c r="B113" s="508"/>
      <c r="C113" s="508"/>
      <c r="D113" s="245"/>
      <c r="F113" s="16"/>
      <c r="G113" s="498"/>
      <c r="H113" s="498"/>
      <c r="I113" s="498"/>
      <c r="J113" s="498"/>
      <c r="M113" s="309"/>
      <c r="P113" s="275"/>
      <c r="Q113" s="346">
        <v>1</v>
      </c>
      <c r="R113" s="346">
        <v>0.5</v>
      </c>
      <c r="S113" s="22"/>
      <c r="T113" s="346">
        <v>40</v>
      </c>
      <c r="U113" s="346">
        <v>8</v>
      </c>
      <c r="V113" s="53"/>
      <c r="W113" s="1"/>
      <c r="X113" s="1"/>
      <c r="Y113" s="165"/>
      <c r="Z113" s="165"/>
      <c r="AA113" s="170"/>
      <c r="AB113" s="170"/>
      <c r="AC113" s="170"/>
      <c r="AD113" s="165"/>
      <c r="AE113" s="165"/>
      <c r="AF113" s="170"/>
      <c r="AG113" s="170"/>
      <c r="AH113" s="165"/>
      <c r="AI113" s="411"/>
      <c r="AJ113" s="411"/>
      <c r="AK113" s="411"/>
      <c r="AL113" s="411"/>
      <c r="AM113" s="411"/>
      <c r="AN113" s="411"/>
      <c r="AO113" s="411"/>
      <c r="AP113" s="411"/>
      <c r="AQ113" s="411"/>
      <c r="AR113" s="411"/>
      <c r="AS113" s="411"/>
      <c r="AT113" s="411"/>
      <c r="AU113" s="411"/>
      <c r="AV113" s="411"/>
      <c r="AW113" s="411"/>
      <c r="AX113" s="411"/>
      <c r="AY113" s="411"/>
      <c r="AZ113" s="297"/>
      <c r="BB113" s="134"/>
      <c r="BC113" s="1"/>
      <c r="BI113" s="130"/>
      <c r="BM113" s="139"/>
      <c r="BP113" s="44"/>
      <c r="BQ113" s="392"/>
      <c r="BR113" s="392"/>
      <c r="BS113" s="392"/>
      <c r="BT113" s="392"/>
      <c r="BU113" s="392"/>
      <c r="BV113" s="392"/>
      <c r="BW113" s="392"/>
      <c r="BX113" s="392"/>
      <c r="BY113" s="392"/>
      <c r="BZ113" s="392"/>
      <c r="CA113" s="392"/>
      <c r="CB113" s="392"/>
      <c r="CC113" s="392"/>
      <c r="CD113" s="392"/>
      <c r="CE113" s="392"/>
      <c r="CF113" s="44"/>
      <c r="CG113" s="369"/>
      <c r="CH113" s="369"/>
      <c r="CI113" s="369"/>
      <c r="CJ113" s="369"/>
      <c r="CK113" s="369"/>
      <c r="CL113" s="369"/>
      <c r="CM113" s="369"/>
      <c r="CN113" s="369"/>
      <c r="CO113" s="369"/>
      <c r="CP113" s="369"/>
      <c r="CQ113" s="369"/>
      <c r="CR113" s="369"/>
      <c r="CS113" s="369"/>
      <c r="CT113" s="369"/>
      <c r="CU113" s="369"/>
      <c r="CV113" s="44"/>
      <c r="CW113" s="44"/>
      <c r="CX113" s="44"/>
      <c r="CY113" s="44"/>
      <c r="CZ113" s="39"/>
      <c r="DI113" s="171"/>
      <c r="DJ113" s="171"/>
      <c r="DK113" s="171"/>
      <c r="DL113" s="171"/>
      <c r="DM113" s="171"/>
      <c r="DN113" s="171"/>
      <c r="DO113" s="171"/>
      <c r="DP113" s="28"/>
      <c r="DQ113" s="161"/>
      <c r="DR113" s="17"/>
      <c r="DS113" s="17"/>
      <c r="DT113" s="17"/>
      <c r="DU113" s="17"/>
      <c r="DV113" s="17"/>
      <c r="DW113" s="17"/>
      <c r="DX113" s="17"/>
      <c r="DY113" s="17"/>
      <c r="DZ113" s="17"/>
    </row>
    <row r="114" spans="1:130" ht="15" customHeight="1" x14ac:dyDescent="0.2">
      <c r="A114" s="508"/>
      <c r="B114" s="508"/>
      <c r="C114" s="508"/>
      <c r="D114" s="245"/>
      <c r="F114" s="16"/>
      <c r="G114" s="498"/>
      <c r="H114" s="498"/>
      <c r="I114" s="498"/>
      <c r="J114" s="498"/>
      <c r="M114" s="309"/>
      <c r="P114" s="275"/>
      <c r="Q114" s="1"/>
      <c r="R114" s="1"/>
      <c r="S114" s="1"/>
      <c r="T114" s="1"/>
      <c r="U114" s="1"/>
      <c r="V114" s="53"/>
      <c r="W114" s="1"/>
      <c r="X114" s="1"/>
      <c r="Y114" s="165"/>
      <c r="Z114" s="165"/>
      <c r="AA114" s="170"/>
      <c r="AB114" s="170"/>
      <c r="AC114" s="170"/>
      <c r="AD114" s="165"/>
      <c r="AE114" s="165"/>
      <c r="AF114" s="170"/>
      <c r="AG114" s="170"/>
      <c r="AH114" s="165"/>
      <c r="AI114" s="408" t="s">
        <v>423</v>
      </c>
      <c r="AJ114" s="408"/>
      <c r="AK114" s="408"/>
      <c r="AL114" s="408"/>
      <c r="AM114" s="408"/>
      <c r="AN114" s="408"/>
      <c r="AO114" s="408"/>
      <c r="AP114" s="408"/>
      <c r="AQ114" s="408"/>
      <c r="AR114" s="408"/>
      <c r="AS114" s="408"/>
      <c r="AT114" s="408"/>
      <c r="AU114" s="408"/>
      <c r="AV114" s="408"/>
      <c r="AW114" s="408"/>
      <c r="AX114" s="408"/>
      <c r="AY114" s="408"/>
      <c r="AZ114" s="297"/>
      <c r="BA114" s="393" t="s">
        <v>716</v>
      </c>
      <c r="BB114" s="393"/>
      <c r="BC114" s="393"/>
      <c r="BD114" s="393"/>
      <c r="BE114" s="393"/>
      <c r="BF114" s="393"/>
      <c r="BG114" s="393"/>
      <c r="BH114" s="393"/>
      <c r="BI114" s="393"/>
      <c r="BJ114" s="393"/>
      <c r="BK114" s="393"/>
      <c r="BL114" s="393"/>
      <c r="BM114" s="393"/>
      <c r="BN114" s="393"/>
      <c r="BO114" s="393"/>
      <c r="BP114" s="44"/>
      <c r="BQ114" s="392"/>
      <c r="BR114" s="392"/>
      <c r="BS114" s="392"/>
      <c r="BT114" s="392"/>
      <c r="BU114" s="392"/>
      <c r="BV114" s="392"/>
      <c r="BW114" s="392"/>
      <c r="BX114" s="392"/>
      <c r="BY114" s="392"/>
      <c r="BZ114" s="392"/>
      <c r="CA114" s="392"/>
      <c r="CB114" s="392"/>
      <c r="CC114" s="392"/>
      <c r="CD114" s="392"/>
      <c r="CE114" s="392"/>
      <c r="CG114" s="391" t="s">
        <v>719</v>
      </c>
      <c r="CH114" s="391"/>
      <c r="CI114" s="391"/>
      <c r="CJ114" s="391"/>
      <c r="CK114" s="391"/>
      <c r="CL114" s="391"/>
      <c r="CM114" s="391"/>
      <c r="CN114" s="391"/>
      <c r="CO114" s="391"/>
      <c r="CP114" s="391"/>
      <c r="CQ114" s="391"/>
      <c r="CR114" s="391"/>
      <c r="CS114" s="391"/>
      <c r="CT114" s="391"/>
      <c r="CU114" s="391"/>
      <c r="CV114" s="44"/>
      <c r="CW114" s="44"/>
      <c r="CX114" s="44"/>
      <c r="CY114" s="44"/>
      <c r="CZ114" s="39"/>
      <c r="DI114" s="171"/>
      <c r="DJ114" s="171"/>
      <c r="DK114" s="171"/>
      <c r="DL114" s="171"/>
      <c r="DM114" s="171"/>
      <c r="DN114" s="171"/>
      <c r="DO114" s="171"/>
      <c r="DP114" s="28"/>
      <c r="DQ114" s="161"/>
      <c r="DR114" s="17"/>
      <c r="DS114" s="17"/>
      <c r="DT114" s="17"/>
      <c r="DU114" s="17"/>
      <c r="DV114" s="17"/>
      <c r="DW114" s="17"/>
      <c r="DX114" s="17"/>
      <c r="DY114" s="17"/>
      <c r="DZ114" s="17"/>
    </row>
    <row r="115" spans="1:130" ht="15" customHeight="1" x14ac:dyDescent="0.2">
      <c r="A115" s="508"/>
      <c r="B115" s="508"/>
      <c r="C115" s="508"/>
      <c r="D115" s="245"/>
      <c r="F115" s="16"/>
      <c r="G115" s="498"/>
      <c r="H115" s="498"/>
      <c r="I115" s="498"/>
      <c r="J115" s="498"/>
      <c r="M115" s="309"/>
      <c r="N115" s="310"/>
      <c r="O115" s="310"/>
      <c r="P115" s="275"/>
      <c r="U115" s="1"/>
      <c r="V115" s="1"/>
      <c r="W115" s="1"/>
      <c r="X115" s="1"/>
      <c r="Y115" s="165"/>
      <c r="Z115" s="165"/>
      <c r="AA115" s="170"/>
      <c r="AB115" s="170"/>
      <c r="AC115" s="170"/>
      <c r="AD115" s="165"/>
      <c r="AE115" s="165"/>
      <c r="AF115" s="170"/>
      <c r="AG115" s="170"/>
      <c r="AH115" s="165"/>
      <c r="AK115" s="1"/>
      <c r="AN115" s="130"/>
      <c r="AP115" s="136"/>
      <c r="AY115" s="145"/>
      <c r="AZ115" s="297"/>
      <c r="BA115" s="393"/>
      <c r="BB115" s="393"/>
      <c r="BC115" s="393"/>
      <c r="BD115" s="393"/>
      <c r="BE115" s="393"/>
      <c r="BF115" s="393"/>
      <c r="BG115" s="393"/>
      <c r="BH115" s="393"/>
      <c r="BI115" s="393"/>
      <c r="BJ115" s="393"/>
      <c r="BK115" s="393"/>
      <c r="BL115" s="393"/>
      <c r="BM115" s="393"/>
      <c r="BN115" s="393"/>
      <c r="BO115" s="393"/>
      <c r="BP115" s="44"/>
      <c r="CF115" s="1"/>
      <c r="CG115" s="391"/>
      <c r="CH115" s="391"/>
      <c r="CI115" s="391"/>
      <c r="CJ115" s="391"/>
      <c r="CK115" s="391"/>
      <c r="CL115" s="391"/>
      <c r="CM115" s="391"/>
      <c r="CN115" s="391"/>
      <c r="CO115" s="391"/>
      <c r="CP115" s="391"/>
      <c r="CQ115" s="391"/>
      <c r="CR115" s="391"/>
      <c r="CS115" s="391"/>
      <c r="CT115" s="391"/>
      <c r="CU115" s="391"/>
      <c r="CY115" s="44"/>
      <c r="CZ115" s="39"/>
      <c r="DI115" s="16"/>
      <c r="DJ115" s="16"/>
      <c r="DK115" s="16"/>
      <c r="DL115" s="16"/>
      <c r="DM115" s="16"/>
      <c r="DN115" s="16"/>
      <c r="DO115" s="16"/>
      <c r="DP115" s="28"/>
      <c r="DQ115" s="161"/>
      <c r="DR115" s="17"/>
      <c r="DS115" s="17"/>
      <c r="DT115" s="17"/>
      <c r="DU115" s="17"/>
      <c r="DV115" s="17"/>
      <c r="DW115" s="17"/>
      <c r="DX115" s="17"/>
      <c r="DY115" s="17"/>
      <c r="DZ115" s="17"/>
    </row>
    <row r="116" spans="1:130" ht="15" customHeight="1" x14ac:dyDescent="0.2">
      <c r="A116" s="508"/>
      <c r="B116" s="508"/>
      <c r="C116" s="508"/>
      <c r="D116" s="245"/>
      <c r="F116" s="16"/>
      <c r="G116" s="498"/>
      <c r="H116" s="498"/>
      <c r="I116" s="498"/>
      <c r="J116" s="498"/>
      <c r="M116" s="309"/>
      <c r="N116" s="310"/>
      <c r="O116" s="310"/>
      <c r="P116" s="275"/>
      <c r="U116" s="1"/>
      <c r="V116" s="1"/>
      <c r="W116" s="1"/>
      <c r="X116" s="1"/>
      <c r="Y116" s="165"/>
      <c r="Z116" s="165"/>
      <c r="AA116" s="170"/>
      <c r="AB116" s="170"/>
      <c r="AC116" s="170"/>
      <c r="AD116" s="165"/>
      <c r="AE116" s="165"/>
      <c r="AF116" s="170"/>
      <c r="AG116" s="170"/>
      <c r="AH116" s="165"/>
      <c r="AI116" s="407" t="s">
        <v>625</v>
      </c>
      <c r="AJ116" s="407"/>
      <c r="AK116" s="407"/>
      <c r="AL116" s="407"/>
      <c r="AM116" s="407"/>
      <c r="AN116" s="407"/>
      <c r="AO116" s="407"/>
      <c r="AP116" s="407"/>
      <c r="AQ116" s="407"/>
      <c r="AR116" s="407"/>
      <c r="AS116" s="407"/>
      <c r="AT116" s="407"/>
      <c r="AU116" s="407"/>
      <c r="AV116" s="407"/>
      <c r="AW116" s="407"/>
      <c r="AX116" s="407"/>
      <c r="AY116" s="407"/>
      <c r="AZ116" s="297"/>
      <c r="BA116" s="393"/>
      <c r="BB116" s="393"/>
      <c r="BC116" s="393"/>
      <c r="BD116" s="393"/>
      <c r="BE116" s="393"/>
      <c r="BF116" s="393"/>
      <c r="BG116" s="393"/>
      <c r="BH116" s="393"/>
      <c r="BI116" s="393"/>
      <c r="BJ116" s="393"/>
      <c r="BK116" s="393"/>
      <c r="BL116" s="393"/>
      <c r="BM116" s="393"/>
      <c r="BN116" s="393"/>
      <c r="BO116" s="393"/>
      <c r="BP116" s="44"/>
      <c r="BQ116" s="393" t="s">
        <v>717</v>
      </c>
      <c r="BR116" s="393"/>
      <c r="BS116" s="393"/>
      <c r="BT116" s="393"/>
      <c r="BU116" s="393"/>
      <c r="BV116" s="393"/>
      <c r="BW116" s="393"/>
      <c r="BX116" s="393"/>
      <c r="BY116" s="393"/>
      <c r="BZ116" s="393"/>
      <c r="CA116" s="393"/>
      <c r="CB116" s="393"/>
      <c r="CC116" s="393"/>
      <c r="CD116" s="393"/>
      <c r="CE116" s="393"/>
      <c r="CF116" s="277"/>
      <c r="CG116" s="391"/>
      <c r="CH116" s="391"/>
      <c r="CI116" s="391"/>
      <c r="CJ116" s="391"/>
      <c r="CK116" s="391"/>
      <c r="CL116" s="391"/>
      <c r="CM116" s="391"/>
      <c r="CN116" s="391"/>
      <c r="CO116" s="391"/>
      <c r="CP116" s="391"/>
      <c r="CQ116" s="391"/>
      <c r="CR116" s="391"/>
      <c r="CS116" s="391"/>
      <c r="CT116" s="391"/>
      <c r="CU116" s="391"/>
      <c r="CV116" s="44"/>
      <c r="CW116" s="44"/>
      <c r="CX116" s="44"/>
      <c r="CY116" s="44"/>
      <c r="CZ116" s="39"/>
      <c r="DI116" s="16"/>
      <c r="DJ116" s="16"/>
      <c r="DK116" s="16"/>
      <c r="DL116" s="16"/>
      <c r="DM116" s="16"/>
      <c r="DN116" s="16"/>
      <c r="DO116" s="16"/>
      <c r="DP116" s="28"/>
      <c r="DQ116" s="161"/>
      <c r="DR116" s="17"/>
      <c r="DS116" s="17"/>
      <c r="DT116" s="17"/>
      <c r="DU116" s="17"/>
      <c r="DV116" s="17"/>
      <c r="DW116" s="17"/>
      <c r="DX116" s="17"/>
      <c r="DY116" s="17"/>
      <c r="DZ116" s="17"/>
    </row>
    <row r="117" spans="1:130" ht="15" customHeight="1" x14ac:dyDescent="0.2">
      <c r="A117" s="508"/>
      <c r="B117" s="508"/>
      <c r="C117" s="508"/>
      <c r="D117" s="245"/>
      <c r="F117" s="16"/>
      <c r="G117" s="498"/>
      <c r="H117" s="498"/>
      <c r="I117" s="498"/>
      <c r="J117" s="498"/>
      <c r="M117" s="309"/>
      <c r="N117" s="310"/>
      <c r="O117" s="310"/>
      <c r="P117" s="275"/>
      <c r="U117" s="1"/>
      <c r="V117" s="1"/>
      <c r="W117" s="1"/>
      <c r="X117" s="1"/>
      <c r="Y117" s="165"/>
      <c r="Z117" s="165"/>
      <c r="AA117" s="170"/>
      <c r="AB117" s="170"/>
      <c r="AC117" s="170"/>
      <c r="AD117" s="165"/>
      <c r="AE117" s="165"/>
      <c r="AF117" s="165"/>
      <c r="AG117" s="165"/>
      <c r="AH117" s="165"/>
      <c r="AI117" s="407"/>
      <c r="AJ117" s="407"/>
      <c r="AK117" s="407"/>
      <c r="AL117" s="407"/>
      <c r="AM117" s="407"/>
      <c r="AN117" s="407"/>
      <c r="AO117" s="407"/>
      <c r="AP117" s="407"/>
      <c r="AQ117" s="407"/>
      <c r="AR117" s="407"/>
      <c r="AS117" s="407"/>
      <c r="AT117" s="407"/>
      <c r="AU117" s="407"/>
      <c r="AV117" s="407"/>
      <c r="AW117" s="407"/>
      <c r="AX117" s="407"/>
      <c r="AY117" s="407"/>
      <c r="AZ117" s="297"/>
      <c r="BA117" s="197"/>
      <c r="BB117" s="197"/>
      <c r="BC117" s="197"/>
      <c r="BD117" s="197"/>
      <c r="BE117" s="197"/>
      <c r="BF117" s="197"/>
      <c r="BG117" s="197"/>
      <c r="BH117" s="197"/>
      <c r="BI117" s="197"/>
      <c r="BJ117" s="197"/>
      <c r="BK117" s="197"/>
      <c r="BL117" s="197"/>
      <c r="BM117" s="197"/>
      <c r="BN117" s="197"/>
      <c r="BO117" s="197"/>
      <c r="BP117" s="44"/>
      <c r="BQ117" s="393"/>
      <c r="BR117" s="393"/>
      <c r="BS117" s="393"/>
      <c r="BT117" s="393"/>
      <c r="BU117" s="393"/>
      <c r="BV117" s="393"/>
      <c r="BW117" s="393"/>
      <c r="BX117" s="393"/>
      <c r="BY117" s="393"/>
      <c r="BZ117" s="393"/>
      <c r="CA117" s="393"/>
      <c r="CB117" s="393"/>
      <c r="CC117" s="393"/>
      <c r="CD117" s="393"/>
      <c r="CE117" s="393"/>
      <c r="CF117" s="277"/>
      <c r="CG117" s="391"/>
      <c r="CH117" s="391"/>
      <c r="CI117" s="391"/>
      <c r="CJ117" s="391"/>
      <c r="CK117" s="391"/>
      <c r="CL117" s="391"/>
      <c r="CM117" s="391"/>
      <c r="CN117" s="391"/>
      <c r="CO117" s="391"/>
      <c r="CP117" s="391"/>
      <c r="CQ117" s="391"/>
      <c r="CR117" s="391"/>
      <c r="CS117" s="391"/>
      <c r="CT117" s="391"/>
      <c r="CU117" s="391"/>
      <c r="CV117" s="44"/>
      <c r="CW117" s="44"/>
      <c r="CX117" s="44"/>
      <c r="CY117" s="44"/>
      <c r="CZ117" s="39"/>
      <c r="DI117" s="16"/>
      <c r="DJ117" s="16"/>
      <c r="DK117" s="16"/>
      <c r="DL117" s="16"/>
      <c r="DM117" s="16"/>
      <c r="DN117" s="16"/>
      <c r="DO117" s="16"/>
      <c r="DP117" s="28"/>
      <c r="DQ117" s="161"/>
      <c r="DR117" s="17"/>
      <c r="DS117" s="17"/>
      <c r="DT117" s="17"/>
      <c r="DU117" s="17"/>
      <c r="DV117" s="17"/>
      <c r="DW117" s="17"/>
      <c r="DX117" s="17"/>
      <c r="DY117" s="17"/>
      <c r="DZ117" s="17"/>
    </row>
    <row r="118" spans="1:130" ht="39.75" customHeight="1" x14ac:dyDescent="0.2">
      <c r="A118" s="508"/>
      <c r="B118" s="508"/>
      <c r="C118" s="508"/>
      <c r="D118" s="245"/>
      <c r="F118" s="16"/>
      <c r="G118" s="498"/>
      <c r="H118" s="498"/>
      <c r="I118" s="498"/>
      <c r="J118" s="498"/>
      <c r="M118" s="309"/>
      <c r="N118" s="310"/>
      <c r="O118" s="310"/>
      <c r="P118" s="275"/>
      <c r="U118" s="1"/>
      <c r="V118" s="1"/>
      <c r="W118" s="1"/>
      <c r="X118" s="1"/>
      <c r="Y118" s="165"/>
      <c r="Z118" s="165"/>
      <c r="AA118" s="170"/>
      <c r="AB118" s="170"/>
      <c r="AC118" s="170"/>
      <c r="AD118" s="165"/>
      <c r="AE118" s="165"/>
      <c r="AF118" s="165"/>
      <c r="AG118" s="165"/>
      <c r="AH118" s="165"/>
      <c r="AI118" s="407"/>
      <c r="AJ118" s="407"/>
      <c r="AK118" s="407"/>
      <c r="AL118" s="407"/>
      <c r="AM118" s="407"/>
      <c r="AN118" s="407"/>
      <c r="AO118" s="407"/>
      <c r="AP118" s="407"/>
      <c r="AQ118" s="407"/>
      <c r="AR118" s="407"/>
      <c r="AS118" s="407"/>
      <c r="AT118" s="407"/>
      <c r="AU118" s="407"/>
      <c r="AV118" s="407"/>
      <c r="AW118" s="407"/>
      <c r="AX118" s="407"/>
      <c r="AY118" s="407"/>
      <c r="AZ118" s="297"/>
      <c r="BA118" s="197"/>
      <c r="BB118" s="197"/>
      <c r="BC118" s="197"/>
      <c r="BD118" s="197"/>
      <c r="BE118" s="197"/>
      <c r="BF118" s="197"/>
      <c r="BG118" s="197"/>
      <c r="BH118" s="197"/>
      <c r="BI118" s="197"/>
      <c r="BJ118" s="197"/>
      <c r="BK118" s="197"/>
      <c r="BL118" s="197"/>
      <c r="BM118" s="197"/>
      <c r="BN118" s="197"/>
      <c r="BO118" s="197"/>
      <c r="BP118" s="44"/>
      <c r="BQ118" s="393"/>
      <c r="BR118" s="393"/>
      <c r="BS118" s="393"/>
      <c r="BT118" s="393"/>
      <c r="BU118" s="393"/>
      <c r="BV118" s="393"/>
      <c r="BW118" s="393"/>
      <c r="BX118" s="393"/>
      <c r="BY118" s="393"/>
      <c r="BZ118" s="393"/>
      <c r="CA118" s="393"/>
      <c r="CB118" s="393"/>
      <c r="CC118" s="393"/>
      <c r="CD118" s="393"/>
      <c r="CE118" s="393"/>
      <c r="CF118" s="277"/>
      <c r="CG118" s="391"/>
      <c r="CH118" s="391"/>
      <c r="CI118" s="391"/>
      <c r="CJ118" s="391"/>
      <c r="CK118" s="391"/>
      <c r="CL118" s="391"/>
      <c r="CM118" s="391"/>
      <c r="CN118" s="391"/>
      <c r="CO118" s="391"/>
      <c r="CP118" s="391"/>
      <c r="CQ118" s="391"/>
      <c r="CR118" s="391"/>
      <c r="CS118" s="391"/>
      <c r="CT118" s="391"/>
      <c r="CU118" s="391"/>
      <c r="CV118" s="44"/>
      <c r="CW118" s="44"/>
      <c r="CX118" s="44"/>
      <c r="CY118" s="44"/>
      <c r="CZ118" s="39"/>
      <c r="DA118" s="39"/>
      <c r="DB118" s="39"/>
      <c r="DC118" s="39"/>
      <c r="DD118" s="39"/>
      <c r="DE118" s="172"/>
      <c r="DF118" s="172"/>
      <c r="DG118" s="16"/>
      <c r="DH118" s="16"/>
      <c r="DI118" s="16"/>
      <c r="DJ118" s="16"/>
      <c r="DK118" s="16"/>
      <c r="DL118" s="16"/>
      <c r="DM118" s="16"/>
      <c r="DN118" s="16"/>
      <c r="DO118" s="16"/>
      <c r="DP118" s="28"/>
      <c r="DQ118" s="161"/>
      <c r="DR118" s="17"/>
      <c r="DS118" s="17"/>
      <c r="DT118" s="17"/>
      <c r="DU118" s="17"/>
      <c r="DV118" s="17"/>
      <c r="DW118" s="17"/>
      <c r="DX118" s="17"/>
      <c r="DY118" s="17"/>
      <c r="DZ118" s="17"/>
    </row>
    <row r="119" spans="1:130" ht="13.5" thickBot="1" x14ac:dyDescent="0.25">
      <c r="A119" s="173"/>
      <c r="B119" s="174"/>
      <c r="C119" s="175"/>
      <c r="D119" s="246"/>
      <c r="E119" s="175"/>
      <c r="F119" s="175"/>
      <c r="G119" s="175"/>
      <c r="H119" s="176"/>
      <c r="I119" s="177"/>
      <c r="J119" s="177"/>
      <c r="K119" s="246"/>
      <c r="L119" s="174"/>
      <c r="M119" s="178"/>
      <c r="N119" s="311"/>
      <c r="O119" s="311"/>
      <c r="P119" s="179"/>
      <c r="Q119" s="195"/>
      <c r="R119" s="195"/>
      <c r="S119" s="195"/>
      <c r="T119" s="195"/>
      <c r="U119" s="195"/>
      <c r="V119" s="195"/>
      <c r="W119" s="195"/>
      <c r="X119" s="195"/>
      <c r="Y119" s="174"/>
      <c r="Z119" s="174"/>
      <c r="AA119" s="174"/>
      <c r="AB119" s="174"/>
      <c r="AC119" s="174"/>
      <c r="AD119" s="174"/>
      <c r="AE119" s="174"/>
      <c r="AF119" s="174"/>
      <c r="AG119" s="174"/>
      <c r="AH119" s="174"/>
      <c r="AI119" s="174"/>
      <c r="AJ119" s="174"/>
      <c r="AK119" s="174"/>
      <c r="AL119" s="180"/>
      <c r="AM119" s="180"/>
      <c r="AN119" s="180"/>
      <c r="AO119" s="181"/>
      <c r="AP119" s="181"/>
      <c r="AQ119" s="180"/>
      <c r="AR119" s="180"/>
      <c r="AS119" s="180"/>
      <c r="AT119" s="180"/>
      <c r="AU119" s="180"/>
      <c r="AV119" s="180"/>
      <c r="AW119" s="180"/>
      <c r="AX119" s="180"/>
      <c r="AY119" s="180"/>
      <c r="AZ119" s="181"/>
      <c r="BA119" s="200"/>
      <c r="BB119" s="200"/>
      <c r="BC119" s="200"/>
      <c r="BD119" s="200"/>
      <c r="BE119" s="200"/>
      <c r="BF119" s="200"/>
      <c r="BG119" s="200"/>
      <c r="BH119" s="200"/>
      <c r="BI119" s="200"/>
      <c r="BJ119" s="200"/>
      <c r="BK119" s="200"/>
      <c r="BL119" s="200"/>
      <c r="BM119" s="200"/>
      <c r="BN119" s="200"/>
      <c r="BO119" s="200"/>
      <c r="BP119" s="182"/>
      <c r="BQ119" s="200"/>
      <c r="BR119" s="200"/>
      <c r="BS119" s="200"/>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3"/>
      <c r="DA119" s="183"/>
      <c r="DB119" s="183"/>
      <c r="DC119" s="183"/>
      <c r="DD119" s="183"/>
      <c r="DE119" s="184"/>
      <c r="DF119" s="184"/>
      <c r="DG119" s="176"/>
      <c r="DH119" s="176"/>
      <c r="DI119" s="176"/>
      <c r="DJ119" s="176"/>
      <c r="DK119" s="176"/>
      <c r="DL119" s="176"/>
      <c r="DM119" s="176"/>
      <c r="DN119" s="176"/>
      <c r="DO119" s="176"/>
      <c r="DP119" s="177"/>
      <c r="DQ119" s="185"/>
      <c r="DR119" s="17"/>
      <c r="DS119" s="17"/>
      <c r="DT119" s="17"/>
      <c r="DU119" s="17"/>
      <c r="DV119" s="17"/>
      <c r="DW119" s="17"/>
      <c r="DX119" s="17"/>
      <c r="DY119" s="17"/>
      <c r="DZ119" s="17"/>
    </row>
    <row r="120" spans="1:130" ht="13.5" thickTop="1" x14ac:dyDescent="0.2">
      <c r="A120" s="7"/>
      <c r="B120" s="30"/>
      <c r="C120" s="122"/>
      <c r="D120" s="247"/>
      <c r="E120" s="122"/>
      <c r="F120" s="122"/>
      <c r="G120" s="122"/>
      <c r="H120" s="16"/>
      <c r="I120" s="28"/>
      <c r="J120" s="28"/>
      <c r="K120" s="247"/>
      <c r="L120" s="30"/>
      <c r="M120" s="141"/>
      <c r="N120" s="310"/>
      <c r="O120" s="310"/>
      <c r="P120" s="162"/>
      <c r="Q120" s="24"/>
      <c r="R120" s="24"/>
      <c r="S120" s="24"/>
      <c r="T120" s="24"/>
      <c r="U120" s="24"/>
      <c r="V120" s="24"/>
      <c r="W120" s="24"/>
      <c r="X120" s="24"/>
      <c r="Y120" s="30"/>
      <c r="Z120" s="30"/>
      <c r="AA120" s="30"/>
      <c r="AB120" s="30"/>
      <c r="AC120" s="30"/>
      <c r="AD120" s="30"/>
      <c r="AE120" s="30"/>
      <c r="AF120" s="30"/>
      <c r="AG120" s="30"/>
      <c r="AH120" s="30"/>
      <c r="AI120" s="30"/>
      <c r="AJ120" s="30"/>
      <c r="AK120" s="163"/>
      <c r="AL120" s="163"/>
      <c r="AM120" s="163"/>
      <c r="AN120" s="145"/>
      <c r="AO120" s="145"/>
      <c r="AP120" s="163"/>
      <c r="AQ120" s="163"/>
      <c r="AR120" s="163"/>
      <c r="AS120" s="163"/>
      <c r="AT120" s="163"/>
      <c r="AU120" s="163"/>
      <c r="AV120" s="163"/>
      <c r="AW120" s="163"/>
      <c r="AX120" s="163"/>
      <c r="AY120" s="145"/>
      <c r="AZ120" s="276"/>
      <c r="BA120" s="276"/>
      <c r="BB120" s="276"/>
      <c r="BC120" s="276"/>
      <c r="BD120" s="276"/>
      <c r="BE120" s="276"/>
      <c r="BF120" s="276"/>
      <c r="BG120" s="276"/>
      <c r="BH120" s="276"/>
      <c r="BI120" s="276"/>
      <c r="BJ120" s="276"/>
      <c r="BK120" s="276"/>
      <c r="BL120" s="276"/>
      <c r="BM120" s="276"/>
      <c r="BN120" s="276"/>
      <c r="BO120" s="44"/>
      <c r="BP120" s="44"/>
      <c r="BQ120" s="276"/>
      <c r="BR120" s="276"/>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39"/>
      <c r="CZ120" s="39"/>
      <c r="DA120" s="39"/>
      <c r="DB120" s="39"/>
      <c r="DC120" s="39"/>
      <c r="DD120" s="172"/>
      <c r="DE120" s="172"/>
      <c r="DF120" s="16"/>
      <c r="DG120" s="16"/>
      <c r="DH120" s="16"/>
      <c r="DI120" s="16"/>
      <c r="DJ120" s="16"/>
      <c r="DK120" s="16"/>
      <c r="DL120" s="16"/>
      <c r="DM120" s="16"/>
      <c r="DN120" s="16"/>
      <c r="DO120" s="28"/>
      <c r="DP120" s="28"/>
      <c r="DQ120" s="17"/>
      <c r="DR120" s="17"/>
      <c r="DS120" s="17"/>
      <c r="DT120" s="17"/>
      <c r="DU120" s="17"/>
      <c r="DV120" s="17"/>
      <c r="DW120" s="17"/>
      <c r="DX120" s="17"/>
      <c r="DY120" s="17"/>
    </row>
    <row r="121" spans="1:130" x14ac:dyDescent="0.2">
      <c r="A121" s="8"/>
      <c r="B121" s="80"/>
      <c r="C121" s="80"/>
      <c r="D121" s="248"/>
      <c r="E121" s="17"/>
      <c r="F121" s="19"/>
      <c r="G121" s="19"/>
      <c r="H121" s="19"/>
      <c r="I121" s="17"/>
      <c r="J121" s="17"/>
      <c r="K121" s="19"/>
      <c r="Q121" s="203"/>
      <c r="R121" s="203"/>
      <c r="S121" s="138"/>
      <c r="T121" s="138"/>
      <c r="BE121" s="34"/>
      <c r="BF121" s="34"/>
      <c r="BG121" s="34"/>
      <c r="BH121" s="34"/>
      <c r="BI121" s="61"/>
      <c r="BJ121" s="61"/>
      <c r="BK121" s="61"/>
      <c r="BL121" s="61"/>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60"/>
      <c r="CZ121" s="60"/>
      <c r="DA121" s="60"/>
      <c r="DB121" s="60"/>
      <c r="DC121" s="60"/>
      <c r="DD121" s="33"/>
      <c r="DE121" s="33"/>
      <c r="DF121" s="19"/>
      <c r="DG121" s="19"/>
      <c r="DH121" s="19"/>
      <c r="DI121" s="19"/>
      <c r="DJ121" s="19"/>
      <c r="DK121" s="19"/>
      <c r="DL121" s="19"/>
      <c r="DM121" s="19"/>
      <c r="DN121" s="19"/>
      <c r="DO121" s="17"/>
      <c r="DP121" s="17"/>
      <c r="DQ121" s="17"/>
      <c r="DR121" s="17"/>
      <c r="DS121" s="17"/>
      <c r="DT121" s="17"/>
      <c r="DU121" s="17"/>
      <c r="DV121" s="17"/>
      <c r="DW121" s="17"/>
      <c r="DX121" s="17"/>
      <c r="DY121" s="17"/>
    </row>
    <row r="122" spans="1:130" x14ac:dyDescent="0.2">
      <c r="A122" s="8"/>
      <c r="B122" s="198"/>
      <c r="C122" s="198"/>
      <c r="D122" s="249"/>
      <c r="E122" s="198"/>
      <c r="F122" s="198"/>
      <c r="G122" s="198"/>
      <c r="H122" s="198"/>
      <c r="I122" s="198"/>
      <c r="J122" s="198"/>
      <c r="K122" s="249"/>
      <c r="Q122" s="203" t="s">
        <v>390</v>
      </c>
      <c r="R122" s="204" t="s">
        <v>57</v>
      </c>
      <c r="S122" s="44"/>
      <c r="T122" s="44"/>
      <c r="U122" s="1"/>
      <c r="V122" s="1"/>
      <c r="Y122" s="136"/>
      <c r="Z122" s="136"/>
      <c r="AA122" s="136"/>
      <c r="AB122" s="136"/>
      <c r="AC122" s="136"/>
      <c r="AD122" s="136"/>
      <c r="AE122" s="136"/>
      <c r="AF122" s="136"/>
      <c r="AG122" s="136"/>
      <c r="AO122" s="45"/>
      <c r="AP122" s="34"/>
      <c r="AQ122" s="34"/>
      <c r="AR122" s="34"/>
      <c r="AS122" s="34"/>
      <c r="AT122" s="34"/>
      <c r="AU122" s="34"/>
      <c r="AV122" s="34"/>
      <c r="AW122" s="34"/>
      <c r="AX122" s="34"/>
      <c r="AY122" s="45"/>
      <c r="AZ122" s="1"/>
      <c r="BA122" s="1"/>
      <c r="BC122" s="1"/>
      <c r="BD122" s="1"/>
      <c r="BE122" s="1"/>
      <c r="BF122" s="1"/>
      <c r="BG122" s="1"/>
      <c r="BH122" s="1"/>
      <c r="BI122" s="1"/>
      <c r="BJ122" s="1"/>
      <c r="BK122" s="1"/>
      <c r="BL122" s="1"/>
      <c r="BM122" s="1"/>
      <c r="BN122" s="1"/>
      <c r="BO122" s="34"/>
      <c r="BP122" s="34"/>
      <c r="BQ122" s="1"/>
      <c r="BR122" s="1"/>
      <c r="BS122" s="34"/>
      <c r="BT122" s="34"/>
      <c r="BU122" s="34"/>
      <c r="BV122" s="34"/>
      <c r="BW122" s="34"/>
      <c r="BX122" s="34"/>
      <c r="BY122" s="34"/>
      <c r="BZ122" s="34"/>
      <c r="CA122" s="34"/>
      <c r="CB122" s="34"/>
      <c r="CC122" s="34"/>
      <c r="CD122" s="34"/>
      <c r="CE122" s="34"/>
      <c r="CF122" s="34"/>
      <c r="CV122" s="34"/>
      <c r="CW122" s="34"/>
      <c r="CX122" s="34"/>
      <c r="CY122" s="60"/>
      <c r="DH122" s="19"/>
      <c r="DI122" s="19"/>
      <c r="DJ122" s="19"/>
      <c r="DK122" s="19"/>
      <c r="DL122" s="19"/>
      <c r="DM122" s="19"/>
      <c r="DN122" s="19"/>
      <c r="DO122" s="17"/>
      <c r="DP122" s="17"/>
      <c r="DQ122" s="17"/>
      <c r="DR122" s="17"/>
      <c r="DS122" s="17"/>
      <c r="DT122" s="17"/>
      <c r="DU122" s="17"/>
      <c r="DV122" s="17"/>
      <c r="DW122" s="17"/>
      <c r="DX122" s="17"/>
      <c r="DY122" s="17"/>
    </row>
    <row r="123" spans="1:130" ht="12.75" customHeight="1" x14ac:dyDescent="0.2">
      <c r="A123" s="8"/>
      <c r="B123" s="269" t="s">
        <v>643</v>
      </c>
      <c r="C123" s="269" t="s">
        <v>644</v>
      </c>
      <c r="D123" s="269" t="s">
        <v>645</v>
      </c>
      <c r="E123" s="269"/>
      <c r="F123" s="269"/>
      <c r="G123" s="269"/>
      <c r="H123" s="269"/>
      <c r="I123" s="198"/>
      <c r="J123" s="198"/>
      <c r="K123" s="249"/>
      <c r="N123" s="8"/>
      <c r="O123" s="8"/>
      <c r="P123" s="49"/>
      <c r="Q123" s="203" t="s">
        <v>387</v>
      </c>
      <c r="R123" s="204" t="s">
        <v>56</v>
      </c>
      <c r="S123" s="44"/>
      <c r="T123" s="44"/>
      <c r="U123" s="1"/>
      <c r="V123" s="1"/>
      <c r="Y123" s="136"/>
      <c r="Z123" s="136"/>
      <c r="AA123" s="136"/>
      <c r="AB123" s="136"/>
      <c r="AC123" s="136"/>
      <c r="AD123" s="136"/>
      <c r="AE123" s="136"/>
      <c r="AF123" s="136"/>
      <c r="AG123" s="136"/>
      <c r="AK123" s="1"/>
      <c r="AL123" s="1"/>
      <c r="AM123" s="1"/>
      <c r="AN123" s="1"/>
      <c r="AO123" s="1"/>
      <c r="AP123" s="1"/>
      <c r="AQ123" s="1"/>
      <c r="AR123" s="1"/>
      <c r="AS123" s="1"/>
      <c r="AT123" s="1"/>
      <c r="AU123" s="1"/>
      <c r="AV123" s="1"/>
      <c r="AW123" s="1"/>
      <c r="AX123" s="1"/>
      <c r="AZ123" s="1"/>
      <c r="BA123" s="1"/>
      <c r="BC123" s="1"/>
      <c r="BD123" s="1"/>
      <c r="BE123" s="1"/>
      <c r="BF123" s="1"/>
      <c r="BG123" s="1"/>
      <c r="BH123" s="1"/>
      <c r="BI123" s="1"/>
      <c r="BJ123" s="1"/>
      <c r="BK123" s="1"/>
      <c r="BL123" s="1"/>
      <c r="BM123" s="1"/>
      <c r="BN123" s="1"/>
      <c r="BO123" s="34"/>
      <c r="BP123" s="1"/>
      <c r="BQ123" s="1"/>
      <c r="BR123" s="1"/>
      <c r="BS123" s="34"/>
      <c r="BT123" s="1"/>
      <c r="BU123" s="1"/>
      <c r="BV123" s="1"/>
      <c r="BW123" s="1"/>
      <c r="BX123" s="1"/>
      <c r="BY123" s="1"/>
      <c r="BZ123" s="1"/>
      <c r="CA123" s="1"/>
      <c r="CB123" s="1"/>
      <c r="CC123" s="1"/>
      <c r="CD123" s="1"/>
      <c r="CE123" s="1"/>
      <c r="CV123" s="1"/>
      <c r="CW123" s="1"/>
      <c r="CX123" s="1"/>
      <c r="CY123" s="60"/>
      <c r="DH123" s="19"/>
      <c r="DI123" s="19"/>
      <c r="DJ123" s="19"/>
      <c r="DK123" s="19"/>
      <c r="DL123" s="19"/>
      <c r="DM123" s="19"/>
      <c r="DN123" s="19"/>
      <c r="DO123" s="17"/>
      <c r="DP123" s="17"/>
      <c r="DQ123" s="17"/>
      <c r="DR123" s="17"/>
      <c r="DS123" s="17"/>
      <c r="DT123" s="17"/>
      <c r="DU123" s="17"/>
      <c r="DV123" s="17"/>
      <c r="DW123" s="17"/>
      <c r="DX123" s="17"/>
      <c r="DY123" s="17"/>
    </row>
    <row r="124" spans="1:130" x14ac:dyDescent="0.2">
      <c r="A124" s="8"/>
      <c r="B124" s="270">
        <v>1</v>
      </c>
      <c r="C124" s="269">
        <f>B124*27</f>
        <v>27</v>
      </c>
      <c r="D124" s="269">
        <f>C124*28.32</f>
        <v>764.64</v>
      </c>
      <c r="E124" s="269"/>
      <c r="F124" s="269"/>
      <c r="G124" s="269"/>
      <c r="H124" s="269"/>
      <c r="I124" s="198"/>
      <c r="J124" s="198"/>
      <c r="K124" s="249"/>
      <c r="N124" s="8"/>
      <c r="O124" s="8"/>
      <c r="P124" s="49"/>
      <c r="Q124" s="203" t="s">
        <v>388</v>
      </c>
      <c r="R124" s="204" t="s">
        <v>77</v>
      </c>
      <c r="S124" s="44"/>
      <c r="T124" s="44"/>
      <c r="U124" s="1"/>
      <c r="V124" s="1"/>
      <c r="Y124" s="136"/>
      <c r="Z124" s="136"/>
      <c r="AA124" s="136"/>
      <c r="AB124" s="136"/>
      <c r="AC124" s="136"/>
      <c r="AD124" s="136"/>
      <c r="AE124" s="136"/>
      <c r="AF124" s="136"/>
      <c r="AG124" s="136"/>
      <c r="AK124" s="1"/>
      <c r="AL124" s="1"/>
      <c r="AM124" s="1"/>
      <c r="AN124" s="1"/>
      <c r="AO124" s="1"/>
      <c r="AP124" s="1"/>
      <c r="AQ124" s="1"/>
      <c r="AR124" s="1"/>
      <c r="AS124" s="1"/>
      <c r="AT124" s="1"/>
      <c r="AU124" s="1"/>
      <c r="AV124" s="1"/>
      <c r="AW124" s="1"/>
      <c r="AX124" s="1"/>
      <c r="AZ124" s="1"/>
      <c r="BA124" s="1"/>
      <c r="BC124" s="1"/>
      <c r="BD124" s="1"/>
      <c r="BE124" s="1"/>
      <c r="BF124" s="1"/>
      <c r="BG124" s="1"/>
      <c r="BH124" s="1"/>
      <c r="BI124" s="1"/>
      <c r="BJ124" s="1"/>
      <c r="BK124" s="1"/>
      <c r="BL124" s="1"/>
      <c r="BM124" s="1"/>
      <c r="BN124" s="1"/>
      <c r="CV124" s="1"/>
      <c r="CW124" s="1"/>
      <c r="CX124" s="1"/>
      <c r="CY124" s="60"/>
      <c r="DH124" s="19"/>
      <c r="DI124" s="19"/>
      <c r="DJ124" s="19"/>
      <c r="DK124" s="19"/>
      <c r="DL124" s="19"/>
      <c r="DM124" s="19"/>
      <c r="DN124" s="19"/>
      <c r="DO124" s="17"/>
      <c r="DP124" s="17"/>
      <c r="DQ124" s="17"/>
      <c r="DR124" s="17"/>
      <c r="DS124" s="17"/>
      <c r="DT124" s="17"/>
      <c r="DU124" s="17"/>
      <c r="DV124" s="17"/>
      <c r="DW124" s="17"/>
      <c r="DX124" s="17"/>
      <c r="DY124" s="17"/>
    </row>
    <row r="125" spans="1:130" ht="12.75" customHeight="1" x14ac:dyDescent="0.2">
      <c r="A125" s="8"/>
      <c r="C125" s="198"/>
      <c r="D125" s="249"/>
      <c r="E125" s="198"/>
      <c r="F125" s="198"/>
      <c r="G125" s="198"/>
      <c r="H125" s="198"/>
      <c r="I125" s="198"/>
      <c r="J125" s="198"/>
      <c r="K125" s="249"/>
      <c r="P125" s="49"/>
      <c r="Q125" s="203" t="s">
        <v>77</v>
      </c>
      <c r="R125" s="204" t="s">
        <v>250</v>
      </c>
      <c r="S125" s="138"/>
      <c r="T125" s="138"/>
      <c r="Y125" s="136"/>
      <c r="Z125" s="136"/>
      <c r="AA125" s="136"/>
      <c r="AB125" s="136"/>
      <c r="AC125" s="136"/>
      <c r="AD125" s="136"/>
      <c r="AE125" s="136"/>
      <c r="AF125" s="136"/>
      <c r="AG125" s="136"/>
      <c r="AK125" s="1"/>
      <c r="AL125" s="1"/>
      <c r="AM125" s="1"/>
      <c r="AN125" s="1"/>
      <c r="AO125" s="1"/>
      <c r="AP125" s="1"/>
      <c r="AQ125" s="1"/>
      <c r="AR125" s="1"/>
      <c r="AS125" s="1"/>
      <c r="AT125" s="1"/>
      <c r="AU125" s="1"/>
      <c r="AV125" s="1"/>
      <c r="AW125" s="1"/>
      <c r="AX125" s="1"/>
      <c r="AZ125" s="1"/>
      <c r="BA125" s="1"/>
      <c r="BC125" s="1"/>
      <c r="BD125" s="1"/>
      <c r="BE125" s="1"/>
      <c r="BF125" s="1"/>
      <c r="BG125" s="1"/>
      <c r="BH125" s="1"/>
      <c r="BI125" s="1"/>
      <c r="BJ125" s="1"/>
      <c r="BK125" s="1"/>
      <c r="BL125" s="1"/>
      <c r="BM125" s="1"/>
      <c r="BN125" s="1"/>
      <c r="CV125" s="1"/>
      <c r="CW125" s="1"/>
      <c r="CX125" s="1"/>
      <c r="CY125" s="60"/>
      <c r="DH125" s="19"/>
      <c r="DI125" s="19"/>
      <c r="DJ125" s="19"/>
      <c r="DK125" s="19"/>
      <c r="DL125" s="19"/>
      <c r="DM125" s="19"/>
      <c r="DN125" s="19"/>
      <c r="DO125" s="17"/>
      <c r="DP125" s="17"/>
      <c r="DQ125" s="17"/>
      <c r="DR125" s="17"/>
      <c r="DS125" s="17"/>
      <c r="DT125" s="17"/>
      <c r="DU125" s="17"/>
      <c r="DV125" s="17"/>
      <c r="DW125" s="17"/>
      <c r="DX125" s="17"/>
      <c r="DY125" s="17"/>
    </row>
    <row r="126" spans="1:130" ht="15" x14ac:dyDescent="0.2">
      <c r="A126" s="8"/>
      <c r="C126" s="198"/>
      <c r="D126" s="249"/>
      <c r="E126" s="198"/>
      <c r="F126" s="198"/>
      <c r="G126" s="198"/>
      <c r="H126" s="198"/>
      <c r="I126" s="198"/>
      <c r="J126" s="198"/>
      <c r="K126" s="249"/>
      <c r="T126" s="353"/>
      <c r="Y126" s="136"/>
      <c r="Z126" s="136"/>
      <c r="AA126" s="136"/>
      <c r="AB126" s="136"/>
      <c r="AC126" s="136"/>
      <c r="AD126" s="136"/>
      <c r="AE126" s="136"/>
      <c r="AF126" s="136"/>
      <c r="AG126" s="136"/>
      <c r="AK126" s="1"/>
      <c r="AL126" s="1"/>
      <c r="AM126" s="1"/>
      <c r="AN126" s="1"/>
      <c r="AO126" s="1"/>
      <c r="AP126" s="1"/>
      <c r="AQ126" s="1"/>
      <c r="AR126" s="1"/>
      <c r="AS126" s="1"/>
      <c r="AT126" s="1"/>
      <c r="AU126" s="1"/>
      <c r="AV126" s="1"/>
      <c r="AW126" s="1"/>
      <c r="AX126" s="1"/>
      <c r="AZ126" s="1"/>
      <c r="BA126" s="1"/>
      <c r="BC126" s="1"/>
      <c r="BD126" s="1"/>
      <c r="BE126" s="1"/>
      <c r="BF126" s="1"/>
      <c r="BG126" s="1"/>
      <c r="BH126" s="1"/>
      <c r="BI126" s="1"/>
      <c r="BJ126" s="1"/>
      <c r="BK126" s="1"/>
      <c r="BL126" s="1"/>
      <c r="BM126" s="1"/>
      <c r="BN126" s="1"/>
      <c r="CY126" s="60"/>
      <c r="DH126" s="19"/>
      <c r="DI126" s="19"/>
      <c r="DJ126" s="19"/>
      <c r="DK126" s="19"/>
      <c r="DL126" s="19"/>
      <c r="DM126" s="19"/>
      <c r="DN126" s="19"/>
      <c r="DO126" s="17"/>
      <c r="DP126" s="17"/>
      <c r="DQ126" s="17"/>
      <c r="DR126" s="17"/>
      <c r="DS126" s="17"/>
      <c r="DT126" s="17"/>
      <c r="DU126" s="17"/>
      <c r="DV126" s="17"/>
      <c r="DW126" s="17"/>
      <c r="DX126" s="17"/>
      <c r="DY126" s="17"/>
    </row>
    <row r="127" spans="1:130" ht="15" x14ac:dyDescent="0.2">
      <c r="A127" s="8"/>
      <c r="C127" s="199"/>
      <c r="D127" s="249"/>
      <c r="E127" s="199"/>
      <c r="F127" s="199"/>
      <c r="G127" s="199"/>
      <c r="H127" s="199"/>
      <c r="I127" s="199"/>
      <c r="J127" s="199"/>
      <c r="K127" s="249"/>
      <c r="M127" s="312"/>
      <c r="T127" s="353"/>
      <c r="AK127" s="1"/>
      <c r="AL127" s="1"/>
      <c r="AM127" s="1"/>
      <c r="AN127" s="1"/>
      <c r="AO127" s="1"/>
      <c r="AP127" s="1"/>
      <c r="AQ127" s="1"/>
      <c r="AR127" s="1"/>
      <c r="AS127" s="1"/>
      <c r="AT127" s="1"/>
      <c r="AU127" s="1"/>
      <c r="AV127" s="1"/>
      <c r="AW127" s="1"/>
      <c r="AX127" s="1"/>
      <c r="CY127" s="60"/>
      <c r="DH127" s="19"/>
      <c r="DI127" s="19"/>
      <c r="DJ127" s="19"/>
      <c r="DK127" s="19"/>
      <c r="DL127" s="19"/>
      <c r="DM127" s="19"/>
      <c r="DN127" s="19"/>
      <c r="DO127" s="17"/>
      <c r="DP127" s="17"/>
      <c r="DQ127" s="17"/>
      <c r="DR127" s="17"/>
      <c r="DS127" s="17"/>
      <c r="DT127" s="17"/>
      <c r="DU127" s="17"/>
      <c r="DV127" s="17"/>
      <c r="DW127" s="17"/>
      <c r="DX127" s="17"/>
      <c r="DY127" s="17"/>
    </row>
    <row r="128" spans="1:130" ht="15" x14ac:dyDescent="0.2">
      <c r="A128" s="8"/>
      <c r="C128" s="198"/>
      <c r="D128" s="249"/>
      <c r="E128" s="198"/>
      <c r="F128" s="198"/>
      <c r="G128" s="198"/>
      <c r="H128" s="198"/>
      <c r="I128" s="198"/>
      <c r="J128" s="198"/>
      <c r="K128" s="249"/>
      <c r="T128" s="354"/>
      <c r="CI128" s="34"/>
      <c r="CJ128" s="34"/>
      <c r="CK128" s="34"/>
      <c r="CL128" s="34"/>
      <c r="CY128" s="60"/>
      <c r="DH128" s="19"/>
      <c r="DI128" s="19"/>
      <c r="DJ128" s="19"/>
      <c r="DK128" s="19"/>
      <c r="DL128" s="19"/>
      <c r="DM128" s="19"/>
      <c r="DN128" s="19"/>
      <c r="DO128" s="17"/>
      <c r="DP128" s="17"/>
      <c r="DQ128" s="17"/>
      <c r="DR128" s="17"/>
      <c r="DS128" s="17"/>
      <c r="DT128" s="17"/>
      <c r="DU128" s="17"/>
      <c r="DV128" s="17"/>
      <c r="DW128" s="17"/>
      <c r="DX128" s="17"/>
      <c r="DY128" s="17"/>
    </row>
    <row r="129" spans="1:129" ht="15" x14ac:dyDescent="0.2">
      <c r="A129" s="8"/>
      <c r="C129" s="158"/>
      <c r="D129" s="245"/>
      <c r="E129" s="158"/>
      <c r="F129" s="158"/>
      <c r="G129" s="156"/>
      <c r="H129" s="19"/>
      <c r="I129" s="17"/>
      <c r="J129" s="17"/>
      <c r="K129" s="245"/>
      <c r="T129" s="354"/>
      <c r="CI129" s="34"/>
      <c r="CJ129" s="34"/>
      <c r="CK129" s="34"/>
      <c r="CL129" s="34"/>
      <c r="CN129" s="140"/>
      <c r="CO129" s="140"/>
      <c r="CP129" s="140"/>
      <c r="CQ129" s="140"/>
      <c r="CR129" s="1"/>
      <c r="CS129" s="1"/>
      <c r="CT129" s="2"/>
      <c r="CU129" s="2"/>
      <c r="CY129" s="60"/>
      <c r="CZ129" s="171"/>
      <c r="DA129" s="171"/>
      <c r="DB129" s="171"/>
      <c r="DC129" s="171"/>
      <c r="DD129" s="171"/>
      <c r="DE129" s="171"/>
      <c r="DF129" s="171"/>
      <c r="DG129" s="171"/>
      <c r="DH129" s="19"/>
      <c r="DI129" s="19"/>
      <c r="DJ129" s="19"/>
      <c r="DK129" s="19"/>
      <c r="DL129" s="19"/>
      <c r="DM129" s="19"/>
      <c r="DN129" s="19"/>
      <c r="DO129" s="17"/>
      <c r="DP129" s="17"/>
      <c r="DQ129" s="17"/>
      <c r="DR129" s="17"/>
      <c r="DS129" s="17"/>
      <c r="DT129" s="17"/>
      <c r="DU129" s="17"/>
      <c r="DV129" s="17"/>
      <c r="DW129" s="17"/>
      <c r="DX129" s="17"/>
      <c r="DY129" s="17"/>
    </row>
    <row r="130" spans="1:129" ht="15" x14ac:dyDescent="0.2">
      <c r="A130" s="8"/>
      <c r="B130" s="158"/>
      <c r="C130" s="158"/>
      <c r="D130" s="245"/>
      <c r="E130" s="158"/>
      <c r="F130" s="158"/>
      <c r="G130" s="156"/>
      <c r="H130" s="19"/>
      <c r="I130" s="17"/>
      <c r="J130" s="17"/>
      <c r="K130" s="245"/>
      <c r="T130" s="353"/>
      <c r="CI130" s="34"/>
      <c r="CJ130" s="34"/>
      <c r="CK130" s="34"/>
      <c r="CL130" s="34"/>
      <c r="CY130" s="60"/>
      <c r="DH130" s="19"/>
      <c r="DI130" s="19"/>
      <c r="DJ130" s="19"/>
      <c r="DK130" s="19"/>
      <c r="DL130" s="19"/>
      <c r="DM130" s="19"/>
      <c r="DN130" s="19"/>
      <c r="DO130" s="17"/>
      <c r="DP130" s="17"/>
      <c r="DQ130" s="17"/>
      <c r="DR130" s="17"/>
      <c r="DS130" s="17"/>
      <c r="DT130" s="17"/>
      <c r="DU130" s="17"/>
      <c r="DV130" s="17"/>
      <c r="DW130" s="17"/>
      <c r="DX130" s="17"/>
      <c r="DY130" s="17"/>
    </row>
    <row r="131" spans="1:129" ht="15" x14ac:dyDescent="0.2">
      <c r="A131" s="8"/>
      <c r="B131" s="158"/>
      <c r="C131" s="158"/>
      <c r="D131" s="245"/>
      <c r="E131" s="158"/>
      <c r="F131" s="158"/>
      <c r="G131" s="156"/>
      <c r="H131" s="19"/>
      <c r="I131" s="17"/>
      <c r="J131" s="17"/>
      <c r="K131" s="245"/>
      <c r="T131" s="353"/>
      <c r="CI131" s="34"/>
      <c r="CJ131" s="34"/>
      <c r="CK131" s="34"/>
      <c r="CL131" s="34"/>
      <c r="CN131" s="140"/>
      <c r="CO131" s="140"/>
      <c r="CP131" s="140"/>
      <c r="CQ131" s="140"/>
      <c r="CR131" s="1"/>
      <c r="CS131" s="1"/>
      <c r="CT131" s="2"/>
      <c r="CU131" s="2"/>
      <c r="CY131" s="60"/>
      <c r="CZ131" s="60"/>
      <c r="DA131" s="60"/>
      <c r="DB131" s="60"/>
      <c r="DC131" s="60"/>
      <c r="DD131" s="33"/>
      <c r="DE131" s="33"/>
      <c r="DF131" s="19"/>
      <c r="DG131" s="19"/>
      <c r="DH131" s="19"/>
      <c r="DI131" s="19"/>
      <c r="DJ131" s="19"/>
      <c r="DK131" s="19"/>
      <c r="DL131" s="19"/>
      <c r="DM131" s="19"/>
      <c r="DN131" s="19"/>
      <c r="DO131" s="17"/>
      <c r="DP131" s="17"/>
      <c r="DQ131" s="17"/>
      <c r="DR131" s="17"/>
      <c r="DS131" s="17"/>
      <c r="DT131" s="17"/>
      <c r="DU131" s="17"/>
      <c r="DV131" s="17"/>
      <c r="DW131" s="17"/>
      <c r="DX131" s="17"/>
      <c r="DY131" s="17"/>
    </row>
    <row r="132" spans="1:129" ht="15" x14ac:dyDescent="0.2">
      <c r="A132" s="8"/>
      <c r="B132" s="158"/>
      <c r="C132" s="158"/>
      <c r="D132" s="245"/>
      <c r="E132" s="158"/>
      <c r="F132" s="158"/>
      <c r="G132" s="156"/>
      <c r="H132" s="19"/>
      <c r="I132" s="17"/>
      <c r="J132" s="17"/>
      <c r="K132" s="245"/>
      <c r="T132" s="353"/>
      <c r="AH132" s="93"/>
      <c r="AI132" s="93"/>
      <c r="AJ132" s="93"/>
      <c r="AK132" s="93"/>
      <c r="AL132" s="93"/>
      <c r="AM132" s="93"/>
      <c r="AN132" s="93"/>
      <c r="AO132" s="93"/>
      <c r="AP132" s="93"/>
      <c r="AQ132" s="93"/>
      <c r="AR132" s="93"/>
      <c r="AS132" s="93"/>
      <c r="AT132" s="93"/>
      <c r="AU132" s="93"/>
      <c r="AV132" s="93"/>
      <c r="AW132" s="93"/>
      <c r="AX132" s="93"/>
      <c r="CI132" s="34"/>
      <c r="CJ132" s="34"/>
      <c r="CK132" s="34"/>
      <c r="CL132" s="34"/>
      <c r="CY132" s="60"/>
      <c r="DO132" s="130"/>
      <c r="DP132" s="130"/>
      <c r="DQ132" s="17"/>
      <c r="DR132" s="17"/>
      <c r="DS132" s="17"/>
      <c r="DT132" s="17"/>
      <c r="DU132" s="17"/>
      <c r="DV132" s="17"/>
      <c r="DW132" s="17"/>
      <c r="DX132" s="17"/>
      <c r="DY132" s="17"/>
    </row>
    <row r="133" spans="1:129" ht="15" x14ac:dyDescent="0.2">
      <c r="A133" s="8"/>
      <c r="B133" s="158"/>
      <c r="C133" s="158"/>
      <c r="D133" s="245"/>
      <c r="E133" s="158"/>
      <c r="F133" s="158"/>
      <c r="G133" s="156"/>
      <c r="H133" s="19"/>
      <c r="I133" s="17"/>
      <c r="J133" s="17"/>
      <c r="K133" s="245"/>
      <c r="T133" s="353"/>
      <c r="CI133" s="34"/>
      <c r="CJ133" s="34"/>
      <c r="CK133" s="34"/>
      <c r="CL133" s="34"/>
      <c r="CY133" s="60"/>
      <c r="CZ133" s="163"/>
      <c r="DA133" s="300"/>
      <c r="DB133" s="300"/>
      <c r="DC133" s="300"/>
      <c r="DD133" s="300"/>
      <c r="DE133" s="300"/>
      <c r="DF133" s="300"/>
      <c r="DG133" s="300"/>
      <c r="DH133" s="300"/>
      <c r="DI133" s="300"/>
      <c r="DJ133" s="300"/>
      <c r="DK133" s="300"/>
      <c r="DL133" s="300"/>
      <c r="DM133" s="300"/>
      <c r="DN133" s="300"/>
      <c r="DO133" s="130"/>
      <c r="DP133" s="130"/>
      <c r="DQ133" s="17"/>
      <c r="DR133" s="17"/>
      <c r="DS133" s="17"/>
      <c r="DT133" s="17"/>
      <c r="DU133" s="17"/>
      <c r="DV133" s="17"/>
      <c r="DW133" s="17"/>
      <c r="DX133" s="17"/>
      <c r="DY133" s="17"/>
    </row>
    <row r="134" spans="1:129" ht="15" x14ac:dyDescent="0.2">
      <c r="A134" s="8"/>
      <c r="B134" s="158"/>
      <c r="C134" s="158"/>
      <c r="D134" s="245"/>
      <c r="E134" s="158"/>
      <c r="F134" s="158"/>
      <c r="G134" s="156"/>
      <c r="H134" s="19"/>
      <c r="I134" s="17"/>
      <c r="J134" s="17"/>
      <c r="K134" s="245"/>
      <c r="T134" s="353"/>
      <c r="V134" s="1"/>
      <c r="CG134" s="191"/>
      <c r="CH134" s="191"/>
      <c r="CI134" s="34"/>
      <c r="CJ134" s="34"/>
      <c r="CK134" s="34"/>
      <c r="CL134" s="34"/>
      <c r="CM134" s="23"/>
      <c r="CV134" s="191"/>
      <c r="CW134" s="191"/>
      <c r="CX134" s="191"/>
      <c r="CY134" s="60"/>
      <c r="CZ134" s="134"/>
      <c r="DA134" s="134"/>
      <c r="DB134" s="1"/>
      <c r="DC134" s="130"/>
      <c r="DD134" s="130"/>
      <c r="DE134" s="130"/>
      <c r="DF134" s="130"/>
      <c r="DG134" s="130"/>
      <c r="DH134" s="130"/>
      <c r="DI134" s="139"/>
      <c r="DJ134" s="139"/>
      <c r="DK134" s="139"/>
      <c r="DL134" s="139"/>
      <c r="DM134" s="130"/>
      <c r="DN134" s="130"/>
      <c r="DO134" s="130"/>
      <c r="DP134" s="130"/>
      <c r="DQ134" s="17"/>
      <c r="DR134" s="17"/>
      <c r="DS134" s="17"/>
      <c r="DT134" s="17"/>
      <c r="DU134" s="17"/>
      <c r="DV134" s="17"/>
      <c r="DW134" s="17"/>
      <c r="DX134" s="17"/>
      <c r="DY134" s="17"/>
    </row>
    <row r="135" spans="1:129" x14ac:dyDescent="0.2">
      <c r="A135" s="8"/>
      <c r="B135" s="158"/>
      <c r="C135" s="158"/>
      <c r="D135" s="245"/>
      <c r="E135" s="158"/>
      <c r="F135" s="158"/>
      <c r="G135" s="156"/>
      <c r="H135" s="19"/>
      <c r="I135" s="17"/>
      <c r="J135" s="17"/>
      <c r="K135" s="245"/>
      <c r="V135" s="1"/>
      <c r="CI135" s="34"/>
      <c r="CJ135" s="34"/>
      <c r="CK135" s="34"/>
      <c r="CL135" s="34"/>
      <c r="CY135" s="60"/>
      <c r="CZ135" s="134"/>
      <c r="DA135" s="134"/>
      <c r="DB135" s="1"/>
      <c r="DC135" s="130"/>
      <c r="DD135" s="130"/>
      <c r="DE135" s="130"/>
      <c r="DF135" s="130"/>
      <c r="DG135" s="130"/>
      <c r="DH135" s="130"/>
      <c r="DI135" s="139"/>
      <c r="DJ135" s="139"/>
      <c r="DK135" s="139"/>
      <c r="DL135" s="139"/>
      <c r="DM135" s="130"/>
      <c r="DN135" s="130"/>
      <c r="DO135" s="130"/>
      <c r="DP135" s="130"/>
      <c r="DQ135" s="17"/>
      <c r="DR135" s="17"/>
      <c r="DS135" s="17"/>
      <c r="DT135" s="17"/>
      <c r="DU135" s="17"/>
      <c r="DV135" s="17"/>
      <c r="DW135" s="17"/>
      <c r="DX135" s="17"/>
      <c r="DY135" s="17"/>
    </row>
    <row r="136" spans="1:129" x14ac:dyDescent="0.2">
      <c r="A136" s="8"/>
      <c r="B136" s="158"/>
      <c r="C136" s="158"/>
      <c r="D136" s="245"/>
      <c r="E136" s="158"/>
      <c r="F136" s="158"/>
      <c r="G136" s="157"/>
      <c r="H136" s="19"/>
      <c r="I136" s="17"/>
      <c r="J136" s="17"/>
      <c r="K136" s="245"/>
      <c r="Q136" s="1"/>
      <c r="R136" s="1"/>
      <c r="S136" s="1"/>
      <c r="T136" s="1"/>
      <c r="U136" s="1"/>
      <c r="V136" s="1"/>
      <c r="W136" s="1"/>
      <c r="X136" s="1"/>
      <c r="CI136" s="34"/>
      <c r="CJ136" s="34"/>
      <c r="CK136" s="34"/>
      <c r="CL136" s="34"/>
      <c r="CY136" s="60"/>
      <c r="CZ136" s="44"/>
      <c r="DA136" s="44"/>
      <c r="DB136" s="44"/>
      <c r="DC136" s="44"/>
      <c r="DD136" s="44"/>
      <c r="DE136" s="44"/>
      <c r="DF136" s="58"/>
      <c r="DG136" s="58"/>
      <c r="DH136" s="44"/>
      <c r="DI136" s="44"/>
      <c r="DJ136" s="44"/>
      <c r="DK136" s="44"/>
      <c r="DL136" s="44"/>
      <c r="DM136" s="44"/>
      <c r="DN136" s="47"/>
      <c r="DO136" s="130"/>
      <c r="DP136" s="130"/>
      <c r="DQ136" s="17"/>
      <c r="DR136" s="17"/>
      <c r="DS136" s="17"/>
      <c r="DT136" s="17"/>
      <c r="DU136" s="17"/>
      <c r="DV136" s="17"/>
      <c r="DW136" s="17"/>
      <c r="DX136" s="17"/>
      <c r="DY136" s="17"/>
    </row>
    <row r="137" spans="1:129" x14ac:dyDescent="0.2">
      <c r="A137" s="8"/>
      <c r="B137" s="158"/>
      <c r="C137" s="158"/>
      <c r="D137" s="245"/>
      <c r="E137" s="158"/>
      <c r="F137" s="158"/>
      <c r="G137" s="157"/>
      <c r="H137" s="19"/>
      <c r="I137" s="17"/>
      <c r="J137" s="17"/>
      <c r="K137" s="245"/>
      <c r="N137" s="264"/>
      <c r="O137" s="264"/>
      <c r="Q137" s="25"/>
      <c r="R137" s="25"/>
      <c r="S137" s="25"/>
      <c r="T137" s="25"/>
      <c r="U137" s="1"/>
      <c r="V137" s="1"/>
      <c r="W137" s="1"/>
      <c r="X137" s="1"/>
      <c r="CI137" s="34"/>
      <c r="CJ137" s="34"/>
      <c r="CK137" s="34"/>
      <c r="CL137" s="34"/>
      <c r="CN137" s="301"/>
      <c r="CO137" s="301"/>
      <c r="CP137" s="301"/>
      <c r="CQ137" s="301"/>
      <c r="CR137" s="301"/>
      <c r="CS137" s="301"/>
      <c r="CT137" s="301"/>
      <c r="CU137" s="301"/>
      <c r="CY137" s="60"/>
      <c r="CZ137" s="396"/>
      <c r="DA137" s="396"/>
      <c r="DB137" s="396"/>
      <c r="DC137" s="396"/>
      <c r="DD137" s="396"/>
      <c r="DE137" s="396"/>
      <c r="DF137" s="396"/>
      <c r="DG137" s="396"/>
      <c r="DH137" s="396"/>
      <c r="DI137" s="396"/>
      <c r="DJ137" s="396"/>
      <c r="DK137" s="396"/>
      <c r="DL137" s="396"/>
      <c r="DM137" s="396"/>
      <c r="DN137" s="396"/>
      <c r="DO137" s="396"/>
      <c r="DP137" s="396"/>
      <c r="DQ137" s="17"/>
      <c r="DR137" s="17"/>
      <c r="DS137" s="17"/>
      <c r="DT137" s="17"/>
      <c r="DU137" s="17"/>
      <c r="DV137" s="17"/>
      <c r="DW137" s="17"/>
      <c r="DX137" s="17"/>
      <c r="DY137" s="17"/>
    </row>
    <row r="138" spans="1:129" x14ac:dyDescent="0.2">
      <c r="A138" s="8"/>
      <c r="B138" s="158"/>
      <c r="C138" s="158"/>
      <c r="D138" s="245"/>
      <c r="E138" s="158"/>
      <c r="F138" s="158"/>
      <c r="G138" s="156"/>
      <c r="H138" s="19"/>
      <c r="I138" s="17"/>
      <c r="J138" s="17"/>
      <c r="K138" s="245"/>
      <c r="N138" s="264"/>
      <c r="O138" s="264"/>
      <c r="Q138" s="25"/>
      <c r="R138" s="25"/>
      <c r="S138" s="25"/>
      <c r="T138" s="25"/>
      <c r="U138" s="1"/>
      <c r="V138" s="1"/>
      <c r="W138" s="1"/>
      <c r="X138" s="1"/>
      <c r="CG138" s="191"/>
      <c r="CH138" s="191"/>
      <c r="CI138" s="34"/>
      <c r="CJ138" s="34"/>
      <c r="CK138" s="34"/>
      <c r="CL138" s="34"/>
      <c r="CM138" s="191"/>
      <c r="CN138" s="433" t="s">
        <v>646</v>
      </c>
      <c r="CO138" s="433"/>
      <c r="CP138" s="433"/>
      <c r="CQ138" s="433"/>
      <c r="CR138" s="433"/>
      <c r="CS138" s="433"/>
      <c r="CT138" s="433"/>
      <c r="CU138" s="433"/>
      <c r="CV138" s="191"/>
      <c r="CW138" s="191"/>
      <c r="CX138" s="191"/>
      <c r="CY138" s="60"/>
      <c r="CZ138" s="396"/>
      <c r="DA138" s="396"/>
      <c r="DB138" s="396"/>
      <c r="DC138" s="396"/>
      <c r="DD138" s="396"/>
      <c r="DE138" s="396"/>
      <c r="DF138" s="396"/>
      <c r="DG138" s="396"/>
      <c r="DH138" s="396"/>
      <c r="DI138" s="396"/>
      <c r="DJ138" s="396"/>
      <c r="DK138" s="396"/>
      <c r="DL138" s="396"/>
      <c r="DM138" s="396"/>
      <c r="DN138" s="396"/>
      <c r="DO138" s="396"/>
      <c r="DP138" s="396"/>
      <c r="DQ138" s="17"/>
      <c r="DR138" s="17"/>
      <c r="DS138" s="17"/>
      <c r="DT138" s="17"/>
      <c r="DU138" s="17"/>
      <c r="DV138" s="17"/>
      <c r="DW138" s="17"/>
      <c r="DX138" s="17"/>
      <c r="DY138" s="17"/>
    </row>
    <row r="139" spans="1:129" x14ac:dyDescent="0.2">
      <c r="A139" s="8"/>
      <c r="B139" s="158"/>
      <c r="C139" s="158"/>
      <c r="D139" s="245"/>
      <c r="E139" s="158"/>
      <c r="F139" s="158"/>
      <c r="G139" s="156"/>
      <c r="H139" s="19"/>
      <c r="I139" s="17"/>
      <c r="J139" s="17"/>
      <c r="K139" s="245"/>
      <c r="N139" s="264"/>
      <c r="O139" s="264"/>
      <c r="Q139" s="25"/>
      <c r="R139" s="25"/>
      <c r="S139" s="25"/>
      <c r="T139" s="25"/>
      <c r="U139" s="1"/>
      <c r="V139" s="1"/>
      <c r="W139" s="1"/>
      <c r="X139" s="1"/>
      <c r="CN139" s="433"/>
      <c r="CO139" s="433"/>
      <c r="CP139" s="433"/>
      <c r="CQ139" s="433"/>
      <c r="CR139" s="433"/>
      <c r="CS139" s="433"/>
      <c r="CT139" s="433"/>
      <c r="CU139" s="433"/>
      <c r="CZ139" s="1"/>
      <c r="DA139" s="1"/>
      <c r="DB139" s="1"/>
      <c r="DC139" s="130"/>
      <c r="DD139" s="130"/>
      <c r="DE139" s="130"/>
      <c r="DF139" s="136"/>
      <c r="DG139" s="136"/>
      <c r="DH139" s="130"/>
      <c r="DI139" s="130"/>
      <c r="DJ139" s="130"/>
      <c r="DK139" s="130"/>
      <c r="DL139" s="130"/>
      <c r="DM139" s="130"/>
      <c r="DN139" s="130"/>
      <c r="DO139" s="130"/>
      <c r="DP139" s="130"/>
      <c r="DQ139" s="17"/>
      <c r="DR139" s="17"/>
      <c r="DS139" s="17"/>
      <c r="DT139" s="17"/>
      <c r="DU139" s="17"/>
      <c r="DV139" s="17"/>
      <c r="DW139" s="17"/>
      <c r="DX139" s="17"/>
      <c r="DY139" s="17"/>
    </row>
    <row r="140" spans="1:129" x14ac:dyDescent="0.2">
      <c r="A140" s="8"/>
      <c r="B140" s="158"/>
      <c r="C140" s="158"/>
      <c r="D140" s="245"/>
      <c r="E140" s="158"/>
      <c r="F140" s="158"/>
      <c r="G140" s="156"/>
      <c r="H140" s="19"/>
      <c r="I140" s="17"/>
      <c r="J140" s="17"/>
      <c r="K140" s="245"/>
      <c r="N140" s="264"/>
      <c r="O140" s="264"/>
      <c r="Q140" s="25"/>
      <c r="R140" s="25"/>
      <c r="S140" s="25"/>
      <c r="T140" s="25"/>
      <c r="U140" s="1"/>
      <c r="V140" s="1"/>
      <c r="W140" s="1"/>
      <c r="X140" s="1"/>
      <c r="CN140" s="433"/>
      <c r="CO140" s="433"/>
      <c r="CP140" s="433"/>
      <c r="CQ140" s="433"/>
      <c r="CR140" s="433"/>
      <c r="CS140" s="433"/>
      <c r="CT140" s="433"/>
      <c r="CU140" s="433"/>
      <c r="DQ140" s="17"/>
      <c r="DR140" s="17"/>
      <c r="DS140" s="17"/>
      <c r="DT140" s="17"/>
      <c r="DU140" s="17"/>
      <c r="DV140" s="17"/>
      <c r="DW140" s="17"/>
      <c r="DX140" s="17"/>
      <c r="DY140" s="17"/>
    </row>
    <row r="141" spans="1:129" x14ac:dyDescent="0.2">
      <c r="A141" s="8"/>
      <c r="B141" s="158"/>
      <c r="C141" s="158"/>
      <c r="D141" s="245"/>
      <c r="E141" s="158"/>
      <c r="F141" s="158"/>
      <c r="G141" s="156"/>
      <c r="H141" s="19"/>
      <c r="I141" s="17"/>
      <c r="J141" s="17"/>
      <c r="K141" s="245"/>
      <c r="N141" s="264"/>
      <c r="O141" s="264"/>
      <c r="Q141" s="25"/>
      <c r="R141" s="25"/>
      <c r="S141" s="25"/>
      <c r="T141" s="25"/>
      <c r="U141" s="1"/>
      <c r="V141" s="1"/>
      <c r="W141" s="1"/>
      <c r="X141" s="1"/>
      <c r="AH141" s="168"/>
      <c r="AI141" s="168"/>
      <c r="AJ141" s="168"/>
      <c r="AK141" s="168"/>
      <c r="AL141" s="168"/>
      <c r="AM141" s="168"/>
      <c r="AN141" s="168"/>
      <c r="AO141" s="168"/>
      <c r="AP141" s="168"/>
      <c r="AQ141" s="168"/>
      <c r="AR141" s="168"/>
      <c r="AS141" s="168"/>
      <c r="AT141" s="168"/>
      <c r="AU141" s="168"/>
      <c r="AV141" s="168"/>
      <c r="AW141" s="168"/>
      <c r="AX141" s="168"/>
      <c r="DQ141" s="17"/>
      <c r="DR141" s="17"/>
      <c r="DS141" s="17"/>
      <c r="DT141" s="17"/>
      <c r="DU141" s="17"/>
      <c r="DV141" s="17"/>
      <c r="DW141" s="17"/>
      <c r="DX141" s="17"/>
      <c r="DY141" s="17"/>
    </row>
    <row r="142" spans="1:129" x14ac:dyDescent="0.2">
      <c r="A142" s="8"/>
      <c r="B142" s="158"/>
      <c r="C142" s="158"/>
      <c r="D142" s="245"/>
      <c r="E142" s="158"/>
      <c r="F142" s="158"/>
      <c r="G142" s="156"/>
      <c r="H142" s="19"/>
      <c r="I142" s="17"/>
      <c r="J142" s="17"/>
      <c r="K142" s="245"/>
      <c r="N142" s="264"/>
      <c r="O142" s="264"/>
      <c r="Q142" s="25"/>
      <c r="R142" s="25"/>
      <c r="S142" s="25"/>
      <c r="T142" s="25"/>
      <c r="U142" s="1"/>
      <c r="V142" s="1"/>
      <c r="W142" s="1"/>
      <c r="X142" s="1"/>
      <c r="Y142" s="49"/>
      <c r="AC142" s="100"/>
      <c r="AD142" s="49"/>
      <c r="AE142" s="49"/>
      <c r="AF142" s="49"/>
      <c r="AG142" s="49"/>
      <c r="CZ142" s="134"/>
      <c r="DA142" s="134"/>
      <c r="DB142" s="1"/>
      <c r="DC142" s="130"/>
      <c r="DD142" s="130"/>
      <c r="DE142" s="130"/>
      <c r="DF142" s="130"/>
      <c r="DG142" s="130"/>
      <c r="DH142" s="130"/>
      <c r="DI142" s="139"/>
      <c r="DJ142" s="139"/>
      <c r="DK142" s="139"/>
      <c r="DL142" s="139"/>
      <c r="DM142" s="130"/>
      <c r="DN142" s="130"/>
      <c r="DO142" s="130"/>
      <c r="DP142" s="191"/>
      <c r="DQ142" s="17"/>
      <c r="DR142" s="17"/>
      <c r="DS142" s="17"/>
      <c r="DT142" s="17"/>
      <c r="DU142" s="17"/>
      <c r="DV142" s="17"/>
      <c r="DW142" s="17"/>
      <c r="DX142" s="17"/>
      <c r="DY142" s="17"/>
    </row>
    <row r="143" spans="1:129" x14ac:dyDescent="0.2">
      <c r="A143" s="8"/>
      <c r="B143" s="158"/>
      <c r="C143" s="158"/>
      <c r="D143" s="245"/>
      <c r="E143" s="158"/>
      <c r="F143" s="158"/>
      <c r="G143" s="156"/>
      <c r="H143" s="19"/>
      <c r="I143" s="17"/>
      <c r="J143" s="17"/>
      <c r="K143" s="245"/>
      <c r="N143" s="264"/>
      <c r="O143" s="264"/>
      <c r="Q143" s="25"/>
      <c r="R143" s="25"/>
      <c r="S143" s="25"/>
      <c r="T143" s="25"/>
      <c r="U143" s="1"/>
      <c r="V143" s="1"/>
      <c r="W143" s="1"/>
      <c r="X143" s="1"/>
      <c r="Y143" s="49"/>
      <c r="Z143" s="49"/>
      <c r="AA143" s="100"/>
      <c r="AB143" s="100"/>
      <c r="AC143" s="100"/>
      <c r="AD143" s="49"/>
      <c r="AE143" s="49"/>
      <c r="AF143" s="49"/>
      <c r="AG143" s="49"/>
      <c r="DO143" s="130"/>
      <c r="DP143" s="130"/>
      <c r="DQ143" s="17"/>
      <c r="DR143" s="17"/>
      <c r="DS143" s="17"/>
      <c r="DT143" s="17"/>
      <c r="DU143" s="17"/>
      <c r="DV143" s="17"/>
      <c r="DW143" s="17"/>
      <c r="DX143" s="17"/>
      <c r="DY143" s="17"/>
    </row>
    <row r="144" spans="1:129" x14ac:dyDescent="0.2">
      <c r="A144" s="8"/>
      <c r="B144" s="158"/>
      <c r="C144" s="158"/>
      <c r="D144" s="245"/>
      <c r="E144" s="158"/>
      <c r="F144" s="158"/>
      <c r="G144" s="156"/>
      <c r="H144" s="19"/>
      <c r="I144" s="17"/>
      <c r="J144" s="17"/>
      <c r="K144" s="245"/>
      <c r="N144" s="264"/>
      <c r="O144" s="264"/>
      <c r="Q144" s="25"/>
      <c r="R144" s="25"/>
      <c r="S144" s="25"/>
      <c r="T144" s="25"/>
      <c r="U144" s="1"/>
      <c r="V144" s="1"/>
      <c r="W144" s="1"/>
      <c r="X144" s="1"/>
      <c r="Y144" s="49"/>
      <c r="Z144" s="49"/>
      <c r="AA144" s="100"/>
      <c r="AB144" s="100"/>
      <c r="AC144" s="100"/>
      <c r="AD144" s="49"/>
      <c r="AE144" s="49"/>
      <c r="AF144" s="49"/>
      <c r="AG144" s="49"/>
      <c r="AZ144" s="1"/>
      <c r="BA144" s="1"/>
      <c r="BC144" s="1"/>
      <c r="BD144" s="1"/>
      <c r="BE144" s="1"/>
      <c r="BF144" s="1"/>
      <c r="BG144" s="1"/>
      <c r="BH144" s="1"/>
      <c r="BI144" s="1"/>
      <c r="BJ144" s="1"/>
      <c r="BK144" s="1"/>
      <c r="BL144" s="1"/>
      <c r="BM144" s="1"/>
      <c r="BN144" s="1"/>
      <c r="CZ144" s="134"/>
      <c r="DA144" s="171"/>
      <c r="DB144" s="171"/>
      <c r="DC144" s="171"/>
      <c r="DD144" s="171"/>
      <c r="DE144" s="171"/>
      <c r="DF144" s="171"/>
      <c r="DG144" s="171"/>
      <c r="DH144" s="171"/>
      <c r="DI144" s="171"/>
      <c r="DJ144" s="171"/>
      <c r="DK144" s="171"/>
      <c r="DL144" s="171"/>
      <c r="DM144" s="171"/>
      <c r="DN144" s="171"/>
      <c r="DO144" s="130"/>
      <c r="DP144" s="130"/>
      <c r="DQ144" s="17"/>
      <c r="DR144" s="17"/>
      <c r="DS144" s="17"/>
      <c r="DT144" s="17"/>
      <c r="DU144" s="17"/>
      <c r="DV144" s="17"/>
      <c r="DW144" s="17"/>
      <c r="DX144" s="17"/>
      <c r="DY144" s="17"/>
    </row>
    <row r="145" spans="1:137" x14ac:dyDescent="0.2">
      <c r="A145" s="8"/>
      <c r="B145" s="80"/>
      <c r="C145" s="80"/>
      <c r="D145" s="248"/>
      <c r="E145" s="17"/>
      <c r="F145" s="19"/>
      <c r="G145" s="156"/>
      <c r="H145" s="19"/>
      <c r="I145" s="17"/>
      <c r="J145" s="17"/>
      <c r="K145" s="19"/>
      <c r="N145" s="264"/>
      <c r="O145" s="264"/>
      <c r="Q145" s="25"/>
      <c r="R145" s="25"/>
      <c r="S145" s="25"/>
      <c r="T145" s="25"/>
      <c r="U145" s="1"/>
      <c r="V145" s="1"/>
      <c r="W145" s="1"/>
      <c r="X145" s="1"/>
      <c r="Y145" s="49"/>
      <c r="Z145" s="49"/>
      <c r="AA145" s="100"/>
      <c r="AB145" s="100"/>
      <c r="AC145" s="100"/>
      <c r="AD145" s="49"/>
      <c r="AE145" s="49"/>
      <c r="AF145" s="49"/>
      <c r="AG145" s="49"/>
      <c r="AZ145" s="1"/>
      <c r="BA145" s="1"/>
      <c r="BC145" s="1"/>
      <c r="BD145" s="1"/>
      <c r="BE145" s="1"/>
      <c r="BF145" s="1"/>
      <c r="BG145" s="1"/>
      <c r="BH145" s="1"/>
      <c r="BI145" s="1"/>
      <c r="BJ145" s="1"/>
      <c r="BK145" s="1"/>
      <c r="BL145" s="1"/>
      <c r="BM145" s="1"/>
      <c r="BN145" s="1"/>
      <c r="DO145" s="17"/>
      <c r="DP145" s="17"/>
      <c r="DQ145" s="17"/>
      <c r="DR145" s="17"/>
      <c r="DS145" s="17"/>
      <c r="DT145" s="17"/>
      <c r="DU145" s="17"/>
      <c r="DV145" s="17"/>
      <c r="DW145" s="17"/>
      <c r="DX145" s="17"/>
      <c r="DY145" s="17"/>
    </row>
    <row r="146" spans="1:137" x14ac:dyDescent="0.2">
      <c r="A146" s="8"/>
      <c r="B146" s="80"/>
      <c r="C146" s="80"/>
      <c r="D146" s="248"/>
      <c r="E146" s="17"/>
      <c r="F146" s="19"/>
      <c r="G146" s="156"/>
      <c r="H146" s="19"/>
      <c r="I146" s="17"/>
      <c r="J146" s="17"/>
      <c r="K146" s="19"/>
      <c r="N146" s="264"/>
      <c r="O146" s="264"/>
      <c r="Q146" s="25"/>
      <c r="R146" s="25"/>
      <c r="S146" s="25"/>
      <c r="T146" s="25"/>
      <c r="U146" s="1"/>
      <c r="V146" s="1"/>
      <c r="W146" s="1"/>
      <c r="X146" s="1"/>
      <c r="Y146" s="49"/>
      <c r="Z146" s="49"/>
      <c r="AA146" s="100"/>
      <c r="AB146" s="100"/>
      <c r="AC146" s="100"/>
      <c r="AD146" s="49"/>
      <c r="AE146" s="49"/>
      <c r="AF146" s="49"/>
      <c r="AG146" s="49"/>
      <c r="AZ146" s="1"/>
      <c r="BA146" s="1"/>
      <c r="BC146" s="1"/>
      <c r="BD146" s="1"/>
      <c r="BE146" s="1"/>
      <c r="BF146" s="1"/>
      <c r="BG146" s="1"/>
      <c r="BH146" s="1"/>
      <c r="BI146" s="1"/>
      <c r="BJ146" s="1"/>
      <c r="BK146" s="1"/>
      <c r="BL146" s="1"/>
      <c r="BM146" s="1"/>
      <c r="BN146" s="1"/>
      <c r="DO146" s="17"/>
      <c r="DP146" s="17"/>
      <c r="DQ146" s="17"/>
      <c r="DR146" s="17"/>
      <c r="DS146" s="17"/>
      <c r="DT146" s="17"/>
      <c r="DU146" s="17"/>
      <c r="DV146" s="17"/>
      <c r="DW146" s="17"/>
      <c r="DX146" s="17"/>
      <c r="DY146" s="17"/>
    </row>
    <row r="147" spans="1:137" x14ac:dyDescent="0.2">
      <c r="N147" s="264"/>
      <c r="O147" s="264"/>
      <c r="Q147" s="25"/>
      <c r="R147" s="25"/>
      <c r="S147" s="25"/>
      <c r="T147" s="25"/>
      <c r="U147" s="1"/>
      <c r="V147" s="1"/>
      <c r="W147" s="1"/>
      <c r="X147" s="1"/>
      <c r="AZ147" s="1"/>
      <c r="BA147" s="1"/>
      <c r="BC147" s="1"/>
      <c r="BD147" s="1"/>
      <c r="BE147" s="1"/>
      <c r="BF147" s="1"/>
      <c r="BG147" s="1"/>
      <c r="BH147" s="1"/>
      <c r="BI147" s="1"/>
      <c r="BJ147" s="1"/>
      <c r="BK147" s="1"/>
      <c r="BL147" s="1"/>
      <c r="BM147" s="1"/>
      <c r="BN147" s="1"/>
    </row>
    <row r="148" spans="1:137" x14ac:dyDescent="0.2">
      <c r="N148" s="264"/>
      <c r="O148" s="264"/>
      <c r="Q148" s="25"/>
      <c r="R148" s="25"/>
      <c r="S148" s="25"/>
      <c r="T148" s="25"/>
      <c r="U148" s="1"/>
      <c r="V148" s="1"/>
      <c r="W148" s="1"/>
      <c r="X148" s="1"/>
      <c r="AZ148" s="1"/>
      <c r="BA148" s="1"/>
      <c r="BC148" s="1"/>
      <c r="BD148" s="1"/>
      <c r="BE148" s="1"/>
      <c r="BF148" s="1"/>
      <c r="BG148" s="1"/>
      <c r="BH148" s="1"/>
      <c r="BI148" s="1"/>
      <c r="BJ148" s="1"/>
      <c r="BK148" s="1"/>
      <c r="BL148" s="1"/>
      <c r="BM148" s="1"/>
      <c r="BN148" s="1"/>
    </row>
    <row r="149" spans="1:137" x14ac:dyDescent="0.2">
      <c r="Q149" s="1"/>
      <c r="R149" s="1"/>
      <c r="S149" s="1"/>
      <c r="T149" s="1"/>
      <c r="U149" s="1"/>
      <c r="V149" s="1"/>
      <c r="W149" s="1"/>
      <c r="X149" s="1"/>
      <c r="AZ149" s="1"/>
      <c r="BA149" s="1"/>
      <c r="BC149" s="1"/>
      <c r="BD149" s="1"/>
      <c r="BE149" s="1"/>
      <c r="BF149" s="1"/>
      <c r="BG149" s="1"/>
      <c r="BH149" s="1"/>
      <c r="BI149" s="1"/>
      <c r="BJ149" s="1"/>
      <c r="BK149" s="1"/>
      <c r="BL149" s="1"/>
      <c r="BM149" s="1"/>
      <c r="BN149" s="1"/>
    </row>
    <row r="150" spans="1:137" x14ac:dyDescent="0.2">
      <c r="Q150" s="1"/>
      <c r="R150" s="1"/>
      <c r="S150" s="1"/>
      <c r="T150" s="1"/>
      <c r="U150" s="1"/>
      <c r="V150" s="1"/>
      <c r="W150" s="1"/>
      <c r="X150" s="1"/>
      <c r="AX150" s="145"/>
      <c r="AZ150" s="1"/>
      <c r="BA150" s="1"/>
      <c r="BC150" s="1"/>
      <c r="BD150" s="1"/>
      <c r="BE150" s="1"/>
      <c r="BF150" s="1"/>
      <c r="BG150" s="1"/>
      <c r="BH150" s="1"/>
      <c r="BI150" s="1"/>
      <c r="BJ150" s="1"/>
      <c r="BK150" s="1"/>
      <c r="BL150" s="1"/>
      <c r="BM150" s="1"/>
      <c r="BN150" s="1"/>
      <c r="BQ150" s="1"/>
      <c r="BR150" s="1"/>
    </row>
    <row r="151" spans="1:137" x14ac:dyDescent="0.2">
      <c r="Q151" s="1"/>
      <c r="R151" s="1"/>
      <c r="S151" s="1"/>
      <c r="T151" s="1"/>
      <c r="U151" s="1"/>
      <c r="V151" s="1"/>
      <c r="W151" s="1"/>
      <c r="X151" s="1"/>
      <c r="AX151" s="145"/>
      <c r="AZ151" s="1"/>
      <c r="BA151" s="1"/>
      <c r="BC151" s="1"/>
      <c r="BD151" s="1"/>
      <c r="BE151" s="1"/>
      <c r="BF151" s="1"/>
      <c r="BG151" s="1"/>
      <c r="BH151" s="1"/>
      <c r="BI151" s="1"/>
      <c r="BJ151" s="1"/>
      <c r="BK151" s="1"/>
      <c r="BL151" s="1"/>
      <c r="BM151" s="1"/>
      <c r="BN151" s="1"/>
      <c r="BQ151" s="1"/>
      <c r="BR151" s="1"/>
    </row>
    <row r="152" spans="1:137" x14ac:dyDescent="0.2">
      <c r="Q152" s="1"/>
      <c r="R152" s="1"/>
      <c r="S152" s="1"/>
      <c r="T152" s="1"/>
      <c r="U152" s="1"/>
      <c r="V152" s="1"/>
      <c r="W152" s="1"/>
      <c r="X152" s="1"/>
      <c r="AZ152" s="1"/>
      <c r="BA152" s="1"/>
      <c r="BC152" s="1"/>
      <c r="BD152" s="1"/>
      <c r="BE152" s="1"/>
      <c r="BF152" s="1"/>
      <c r="BG152" s="1"/>
      <c r="BH152" s="1"/>
      <c r="BI152" s="1"/>
      <c r="BJ152" s="1"/>
      <c r="BK152" s="1"/>
      <c r="BL152" s="1"/>
      <c r="BM152" s="1"/>
      <c r="BN152" s="1"/>
      <c r="BQ152" s="1"/>
      <c r="BR152" s="1"/>
    </row>
    <row r="153" spans="1:137" x14ac:dyDescent="0.2">
      <c r="Q153" s="1"/>
      <c r="R153" s="1"/>
      <c r="S153" s="1"/>
      <c r="T153" s="1"/>
      <c r="U153" s="1"/>
      <c r="V153" s="1"/>
      <c r="W153" s="1"/>
      <c r="X153" s="1"/>
      <c r="AZ153" s="1"/>
      <c r="BA153" s="1"/>
      <c r="BC153" s="1"/>
      <c r="BD153" s="1"/>
      <c r="BE153" s="1"/>
      <c r="BF153" s="1"/>
      <c r="BG153" s="1"/>
      <c r="BH153" s="1"/>
      <c r="BI153" s="1"/>
      <c r="BJ153" s="1"/>
      <c r="BK153" s="1"/>
      <c r="BL153" s="1"/>
      <c r="BM153" s="1"/>
      <c r="BN153" s="1"/>
      <c r="BQ153" s="1"/>
      <c r="BR153" s="1"/>
    </row>
    <row r="154" spans="1:137" x14ac:dyDescent="0.2">
      <c r="Q154" s="1"/>
      <c r="R154" s="1"/>
      <c r="S154" s="1"/>
      <c r="T154" s="1"/>
      <c r="U154" s="1"/>
      <c r="V154" s="1"/>
      <c r="W154" s="1"/>
      <c r="X154" s="1"/>
      <c r="AZ154" s="1"/>
      <c r="BA154" s="1"/>
      <c r="BC154" s="1"/>
      <c r="BD154" s="1"/>
      <c r="BE154" s="1"/>
      <c r="BF154" s="1"/>
      <c r="BG154" s="1"/>
      <c r="BH154" s="1"/>
      <c r="BI154" s="1"/>
      <c r="BJ154" s="1"/>
      <c r="BK154" s="1"/>
      <c r="BL154" s="1"/>
      <c r="BM154" s="1"/>
      <c r="BN154" s="1"/>
      <c r="BQ154" s="1"/>
      <c r="BR154" s="1"/>
    </row>
    <row r="155" spans="1:137" x14ac:dyDescent="0.2">
      <c r="Q155" s="1"/>
      <c r="R155" s="1"/>
      <c r="S155" s="1"/>
      <c r="T155" s="1"/>
      <c r="U155" s="1"/>
      <c r="V155" s="1"/>
      <c r="W155" s="1"/>
      <c r="X155" s="1"/>
    </row>
    <row r="156" spans="1:137" x14ac:dyDescent="0.2">
      <c r="Q156" s="1"/>
      <c r="R156" s="1"/>
      <c r="S156" s="1"/>
      <c r="T156" s="1"/>
      <c r="U156" s="1"/>
      <c r="V156" s="1"/>
      <c r="W156" s="1"/>
      <c r="X156" s="1"/>
    </row>
    <row r="157" spans="1:137" x14ac:dyDescent="0.2">
      <c r="Q157" s="1"/>
      <c r="R157" s="1"/>
      <c r="S157" s="1"/>
      <c r="T157" s="1"/>
      <c r="U157" s="1"/>
      <c r="V157" s="1"/>
      <c r="W157" s="1"/>
      <c r="X157" s="1"/>
    </row>
    <row r="158" spans="1:137" x14ac:dyDescent="0.2">
      <c r="Q158" s="1"/>
      <c r="R158" s="1"/>
      <c r="S158" s="1"/>
      <c r="T158" s="1"/>
      <c r="U158" s="1"/>
      <c r="V158" s="1"/>
      <c r="W158" s="1"/>
      <c r="X158" s="1"/>
    </row>
    <row r="159" spans="1:137" x14ac:dyDescent="0.2">
      <c r="Q159" s="1"/>
      <c r="R159" s="1"/>
      <c r="S159" s="1"/>
      <c r="T159" s="1"/>
      <c r="U159" s="1"/>
      <c r="V159" s="1"/>
      <c r="W159" s="1"/>
      <c r="X159" s="1"/>
    </row>
    <row r="160" spans="1:137" ht="12.75" customHeight="1" x14ac:dyDescent="0.2">
      <c r="E160" s="25"/>
      <c r="F160" s="25"/>
      <c r="G160" s="25"/>
      <c r="H160" s="25"/>
      <c r="I160" s="25"/>
      <c r="J160" s="25"/>
      <c r="K160" s="264"/>
      <c r="L160" s="25"/>
      <c r="M160" s="264"/>
      <c r="N160" s="264"/>
      <c r="O160" s="264"/>
      <c r="P160" s="25"/>
      <c r="Q160" s="1"/>
      <c r="R160" s="1"/>
      <c r="S160" s="1"/>
      <c r="T160" s="1"/>
      <c r="U160" s="1"/>
      <c r="V160" s="1"/>
      <c r="W160" s="1"/>
      <c r="X160" s="1"/>
      <c r="Y160" s="25"/>
      <c r="Z160" s="25"/>
      <c r="AA160" s="25"/>
      <c r="AB160" s="25"/>
      <c r="AC160" s="25"/>
      <c r="AD160" s="25"/>
      <c r="AE160" s="25"/>
      <c r="AF160" s="25"/>
      <c r="AG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row>
    <row r="180" spans="1:1" x14ac:dyDescent="0.2">
      <c r="A180" s="32" t="s">
        <v>558</v>
      </c>
    </row>
  </sheetData>
  <sheetProtection password="D75F" sheet="1" objects="1" scenarios="1"/>
  <mergeCells count="304">
    <mergeCell ref="BV4:BV6"/>
    <mergeCell ref="BA93:BO96"/>
    <mergeCell ref="AN70:AN71"/>
    <mergeCell ref="BQ96:CE99"/>
    <mergeCell ref="AD70:AD71"/>
    <mergeCell ref="W110:X111"/>
    <mergeCell ref="BQ4:BT4"/>
    <mergeCell ref="BQ5:BQ6"/>
    <mergeCell ref="BR5:BR6"/>
    <mergeCell ref="BS5:BS6"/>
    <mergeCell ref="BT5:BT6"/>
    <mergeCell ref="BQ109:CE110"/>
    <mergeCell ref="Z106:AB109"/>
    <mergeCell ref="Y5:Z5"/>
    <mergeCell ref="BA110:BO112"/>
    <mergeCell ref="W59:W61"/>
    <mergeCell ref="X59:X61"/>
    <mergeCell ref="AZ5:BB5"/>
    <mergeCell ref="BA108:BO108"/>
    <mergeCell ref="BI4:BL4"/>
    <mergeCell ref="BW5:BY5"/>
    <mergeCell ref="BK5:BK6"/>
    <mergeCell ref="AS5:AU5"/>
    <mergeCell ref="BI5:BI6"/>
    <mergeCell ref="BF5:BH5"/>
    <mergeCell ref="BC5:BE5"/>
    <mergeCell ref="BL5:BL6"/>
    <mergeCell ref="AP5:AR5"/>
    <mergeCell ref="AI70:AI71"/>
    <mergeCell ref="AK70:AK71"/>
    <mergeCell ref="AL70:AL71"/>
    <mergeCell ref="AM70:AM71"/>
    <mergeCell ref="Q106:R106"/>
    <mergeCell ref="T106:U106"/>
    <mergeCell ref="U5:V5"/>
    <mergeCell ref="Q102:R102"/>
    <mergeCell ref="Q91:X91"/>
    <mergeCell ref="Q105:U105"/>
    <mergeCell ref="T99:U99"/>
    <mergeCell ref="W95:X96"/>
    <mergeCell ref="X70:X71"/>
    <mergeCell ref="AJ70:AJ71"/>
    <mergeCell ref="AT70:AT71"/>
    <mergeCell ref="AU70:AU71"/>
    <mergeCell ref="AV70:AV71"/>
    <mergeCell ref="AO70:AO71"/>
    <mergeCell ref="AP70:AP71"/>
    <mergeCell ref="AQ70:AQ71"/>
    <mergeCell ref="DP70:DP71"/>
    <mergeCell ref="DO70:DO71"/>
    <mergeCell ref="DN70:DN71"/>
    <mergeCell ref="DM70:DM71"/>
    <mergeCell ref="DL70:DL71"/>
    <mergeCell ref="DJ70:DJ71"/>
    <mergeCell ref="DI70:DI71"/>
    <mergeCell ref="DH70:DH71"/>
    <mergeCell ref="DG70:DG71"/>
    <mergeCell ref="DK70:DK71"/>
    <mergeCell ref="DF70:DF71"/>
    <mergeCell ref="DA70:DA71"/>
    <mergeCell ref="CZ70:CZ71"/>
    <mergeCell ref="CY70:CY71"/>
    <mergeCell ref="CH70:CH71"/>
    <mergeCell ref="CF70:CF71"/>
    <mergeCell ref="CE70:CE71"/>
    <mergeCell ref="CM5:CO5"/>
    <mergeCell ref="CP5:CR5"/>
    <mergeCell ref="CS5:CU5"/>
    <mergeCell ref="CV5:CX5"/>
    <mergeCell ref="CT70:CT71"/>
    <mergeCell ref="CU70:CU71"/>
    <mergeCell ref="CV70:CV71"/>
    <mergeCell ref="CW70:CW71"/>
    <mergeCell ref="CX70:CX71"/>
    <mergeCell ref="DC59:DC61"/>
    <mergeCell ref="DA52:DA57"/>
    <mergeCell ref="DC52:DC57"/>
    <mergeCell ref="DB52:DB57"/>
    <mergeCell ref="DA4:DA6"/>
    <mergeCell ref="DF4:DI4"/>
    <mergeCell ref="CQ70:CQ71"/>
    <mergeCell ref="CR70:CR71"/>
    <mergeCell ref="Q109:R109"/>
    <mergeCell ref="W99:X99"/>
    <mergeCell ref="AO5:AO6"/>
    <mergeCell ref="BQ93:CE95"/>
    <mergeCell ref="T112:U112"/>
    <mergeCell ref="T102:U102"/>
    <mergeCell ref="AE91:AG91"/>
    <mergeCell ref="AK5:AN5"/>
    <mergeCell ref="AV5:AY5"/>
    <mergeCell ref="BZ5:CB5"/>
    <mergeCell ref="BM5:BM6"/>
    <mergeCell ref="BN5:BN6"/>
    <mergeCell ref="BO5:BO6"/>
    <mergeCell ref="BP5:BP6"/>
    <mergeCell ref="BJ5:BJ6"/>
    <mergeCell ref="Q92:X92"/>
    <mergeCell ref="Z91:AB91"/>
    <mergeCell ref="Z92:AB95"/>
    <mergeCell ref="AE92:AG95"/>
    <mergeCell ref="Z105:AB105"/>
    <mergeCell ref="Q112:R112"/>
    <mergeCell ref="Q99:R99"/>
    <mergeCell ref="AA5:AB5"/>
    <mergeCell ref="AD5:AE5"/>
    <mergeCell ref="B86:B87"/>
    <mergeCell ref="F59:F61"/>
    <mergeCell ref="C59:C61"/>
    <mergeCell ref="B72:B75"/>
    <mergeCell ref="I4:I6"/>
    <mergeCell ref="A31:A35"/>
    <mergeCell ref="A36:A42"/>
    <mergeCell ref="E52:E57"/>
    <mergeCell ref="F52:F57"/>
    <mergeCell ref="G52:G57"/>
    <mergeCell ref="A17:A26"/>
    <mergeCell ref="B59:B61"/>
    <mergeCell ref="A52:A61"/>
    <mergeCell ref="A46:A51"/>
    <mergeCell ref="A43:A45"/>
    <mergeCell ref="A80:A89"/>
    <mergeCell ref="E59:E61"/>
    <mergeCell ref="A4:A6"/>
    <mergeCell ref="F4:F6"/>
    <mergeCell ref="A7:A16"/>
    <mergeCell ref="A62:A71"/>
    <mergeCell ref="G59:G61"/>
    <mergeCell ref="A78:A79"/>
    <mergeCell ref="H59:H61"/>
    <mergeCell ref="I59:I61"/>
    <mergeCell ref="G4:G6"/>
    <mergeCell ref="H4:H6"/>
    <mergeCell ref="X4:X6"/>
    <mergeCell ref="S5:T5"/>
    <mergeCell ref="W4:W6"/>
    <mergeCell ref="J59:J61"/>
    <mergeCell ref="A72:A77"/>
    <mergeCell ref="A91:C118"/>
    <mergeCell ref="A27:A30"/>
    <mergeCell ref="M70:M71"/>
    <mergeCell ref="B70:B71"/>
    <mergeCell ref="C70:C71"/>
    <mergeCell ref="J70:J71"/>
    <mergeCell ref="K70:K71"/>
    <mergeCell ref="D70:D71"/>
    <mergeCell ref="E70:E71"/>
    <mergeCell ref="F70:F71"/>
    <mergeCell ref="G70:G71"/>
    <mergeCell ref="H70:H71"/>
    <mergeCell ref="I70:I71"/>
    <mergeCell ref="L70:L71"/>
    <mergeCell ref="P70:P71"/>
    <mergeCell ref="Q70:Q71"/>
    <mergeCell ref="AL2:AM2"/>
    <mergeCell ref="C4:C6"/>
    <mergeCell ref="C52:C57"/>
    <mergeCell ref="I52:I57"/>
    <mergeCell ref="B4:B6"/>
    <mergeCell ref="E4:E6"/>
    <mergeCell ref="H52:H57"/>
    <mergeCell ref="W107:X107"/>
    <mergeCell ref="N71:N73"/>
    <mergeCell ref="O70:O71"/>
    <mergeCell ref="AE104:AF104"/>
    <mergeCell ref="W102:X102"/>
    <mergeCell ref="W104:X104"/>
    <mergeCell ref="T95:U96"/>
    <mergeCell ref="Q95:R96"/>
    <mergeCell ref="AI95:AY95"/>
    <mergeCell ref="AI93:AY93"/>
    <mergeCell ref="L4:L6"/>
    <mergeCell ref="Q4:R5"/>
    <mergeCell ref="J52:J57"/>
    <mergeCell ref="J4:J6"/>
    <mergeCell ref="G91:J118"/>
    <mergeCell ref="AH4:BH4"/>
    <mergeCell ref="K4:K6"/>
    <mergeCell ref="Y4:AG4"/>
    <mergeCell ref="BM4:BP4"/>
    <mergeCell ref="AH5:AJ5"/>
    <mergeCell ref="M4:O4"/>
    <mergeCell ref="P4:P6"/>
    <mergeCell ref="AF5:AG5"/>
    <mergeCell ref="CM4:CX4"/>
    <mergeCell ref="S4:V4"/>
    <mergeCell ref="DP59:DP61"/>
    <mergeCell ref="BU4:BU6"/>
    <mergeCell ref="CI4:CJ5"/>
    <mergeCell ref="CK4:CL5"/>
    <mergeCell ref="DO4:DO6"/>
    <mergeCell ref="DP4:DQ4"/>
    <mergeCell ref="DP5:DP6"/>
    <mergeCell ref="DQ5:DQ6"/>
    <mergeCell ref="DO59:DO61"/>
    <mergeCell ref="CY4:CY5"/>
    <mergeCell ref="DC4:DC6"/>
    <mergeCell ref="DD4:DD6"/>
    <mergeCell ref="DE4:DE6"/>
    <mergeCell ref="DD59:DD61"/>
    <mergeCell ref="DE59:DE61"/>
    <mergeCell ref="DB4:DB6"/>
    <mergeCell ref="DM5:DM6"/>
    <mergeCell ref="CZ137:DP138"/>
    <mergeCell ref="BA100:BO104"/>
    <mergeCell ref="CZ59:CZ61"/>
    <mergeCell ref="DJ4:DN4"/>
    <mergeCell ref="DJ5:DJ6"/>
    <mergeCell ref="DK5:DK6"/>
    <mergeCell ref="DL5:DL6"/>
    <mergeCell ref="DN5:DN6"/>
    <mergeCell ref="CC5:CE5"/>
    <mergeCell ref="DF5:DF6"/>
    <mergeCell ref="DI5:DI6"/>
    <mergeCell ref="DH5:DH6"/>
    <mergeCell ref="DG5:DG6"/>
    <mergeCell ref="CZ4:CZ6"/>
    <mergeCell ref="CY59:CY61"/>
    <mergeCell ref="CY52:CY57"/>
    <mergeCell ref="CZ52:CZ57"/>
    <mergeCell ref="CF5:CH5"/>
    <mergeCell ref="BW4:CH4"/>
    <mergeCell ref="DA59:DA61"/>
    <mergeCell ref="DB59:DB61"/>
    <mergeCell ref="CN138:CU140"/>
    <mergeCell ref="BQ116:CE118"/>
    <mergeCell ref="BB70:BB71"/>
    <mergeCell ref="AS70:AS71"/>
    <mergeCell ref="AI116:AY118"/>
    <mergeCell ref="BA114:BO116"/>
    <mergeCell ref="AI97:AY98"/>
    <mergeCell ref="AI100:AY100"/>
    <mergeCell ref="AI102:AY102"/>
    <mergeCell ref="AI104:AY104"/>
    <mergeCell ref="AI109:AY110"/>
    <mergeCell ref="AI114:AY114"/>
    <mergeCell ref="BA106:BO106"/>
    <mergeCell ref="AI106:AY107"/>
    <mergeCell ref="AI112:AY113"/>
    <mergeCell ref="BA98:BO98"/>
    <mergeCell ref="BE70:BE71"/>
    <mergeCell ref="BF70:BF71"/>
    <mergeCell ref="BG70:BG71"/>
    <mergeCell ref="AR70:AR71"/>
    <mergeCell ref="AW70:AW71"/>
    <mergeCell ref="AX70:AX71"/>
    <mergeCell ref="AY70:AY71"/>
    <mergeCell ref="AZ70:AZ71"/>
    <mergeCell ref="BA70:BA71"/>
    <mergeCell ref="AE70:AE71"/>
    <mergeCell ref="AF70:AF71"/>
    <mergeCell ref="AG70:AG71"/>
    <mergeCell ref="AH70:AH71"/>
    <mergeCell ref="R70:R71"/>
    <mergeCell ref="S70:S71"/>
    <mergeCell ref="T70:T71"/>
    <mergeCell ref="U70:U71"/>
    <mergeCell ref="V70:V71"/>
    <mergeCell ref="W70:W71"/>
    <mergeCell ref="AB70:AB71"/>
    <mergeCell ref="Y70:Y71"/>
    <mergeCell ref="Z70:Z71"/>
    <mergeCell ref="AA70:AA71"/>
    <mergeCell ref="BC70:BC71"/>
    <mergeCell ref="BH70:BH71"/>
    <mergeCell ref="BI70:BI71"/>
    <mergeCell ref="BJ70:BJ71"/>
    <mergeCell ref="BL70:BL71"/>
    <mergeCell ref="BM70:BM71"/>
    <mergeCell ref="BN70:BN71"/>
    <mergeCell ref="BK70:BK71"/>
    <mergeCell ref="CG104:CU108"/>
    <mergeCell ref="BO70:BO71"/>
    <mergeCell ref="BP70:BP71"/>
    <mergeCell ref="BD70:BD71"/>
    <mergeCell ref="CG110:CU112"/>
    <mergeCell ref="BQ112:CE114"/>
    <mergeCell ref="BQ101:CE103"/>
    <mergeCell ref="BQ105:CE107"/>
    <mergeCell ref="CG102:CU102"/>
    <mergeCell ref="CG93:CU93"/>
    <mergeCell ref="CG95:CU97"/>
    <mergeCell ref="CG99:CU100"/>
    <mergeCell ref="CS70:CS71"/>
    <mergeCell ref="CG114:CU118"/>
    <mergeCell ref="DC70:DC71"/>
    <mergeCell ref="DD70:DD71"/>
    <mergeCell ref="DE70:DE71"/>
    <mergeCell ref="BU70:BU71"/>
    <mergeCell ref="BV70:BV71"/>
    <mergeCell ref="BW70:BW71"/>
    <mergeCell ref="BY70:BY71"/>
    <mergeCell ref="BZ70:BZ71"/>
    <mergeCell ref="CA70:CA71"/>
    <mergeCell ref="CB70:CB71"/>
    <mergeCell ref="CC70:CC71"/>
    <mergeCell ref="CD70:CD71"/>
    <mergeCell ref="DB70:DB71"/>
    <mergeCell ref="CG70:CG71"/>
    <mergeCell ref="BX70:BX71"/>
    <mergeCell ref="CM70:CM71"/>
    <mergeCell ref="CN70:CN71"/>
    <mergeCell ref="CO70:CO71"/>
    <mergeCell ref="CP70:CP71"/>
  </mergeCells>
  <dataValidations count="5">
    <dataValidation type="list" allowBlank="1" showInputMessage="1" showErrorMessage="1" sqref="X62:X64 X7:X19 X30:X59 X80:X89 X67:X70">
      <formula1>$Q$121:$Q$125</formula1>
    </dataValidation>
    <dataValidation type="list" allowBlank="1" showInputMessage="1" showErrorMessage="1" sqref="CZ24:CZ51 DF7:DI64 CZ7:DA23 DC16:DC35 DB62:DC64 CZ70:DC70 CZ80:CZ89 DB80:DC89 DC7:DC12 DC37:DC52 DA59 DC58:DC59 DA24:DA52 CZ58:DB58 CZ63:CZ64 DB34 DA80:DA88 DF80:DI89 CZ67:CZ69 DA62:DA69 DB67:DC69 DF67:DI70">
      <formula1>$R$121:$R$125</formula1>
    </dataValidation>
    <dataValidation type="list" allowBlank="1" showInputMessage="1" showErrorMessage="1" sqref="DF65:DI66 DF72:DI79">
      <formula1>$DF$91:$DF$93</formula1>
    </dataValidation>
    <dataValidation type="list" allowBlank="1" showInputMessage="1" showErrorMessage="1" sqref="CZ62 DC36 CZ59 DC13:DC15 DC65:DC66 DC72:DC79 CZ65:CZ66 CZ52 CZ72:CZ79">
      <formula1>$DF$91:$DF$122</formula1>
    </dataValidation>
    <dataValidation type="list" allowBlank="1" showInputMessage="1" showErrorMessage="1" sqref="DA72:DA79 DA89">
      <formula1>$DA$91:$DA$122</formula1>
    </dataValidation>
  </dataValidations>
  <pageMargins left="0.7" right="0.7" top="0.75" bottom="0.75" header="0.3" footer="0.3"/>
  <pageSetup paperSize="266" scale="10" orientation="portrait" r:id="rId1"/>
  <headerFooter>
    <oddFooter>&amp;LAECOM Technical Services, Inc., Scott Horsley, and Offshoots, Inc. ©&amp;CCape Cod Com mission
208 Plan
Technology Matrix&amp;RPage &amp;P of &amp;N
Revised: November 20, 2014</oddFooter>
  </headerFooter>
  <ignoredErrors>
    <ignoredError sqref="AR9:AR20 AR25:AR45 AR52:AR6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G189"/>
  <sheetViews>
    <sheetView tabSelected="1" zoomScale="75" zoomScaleNormal="75" workbookViewId="0">
      <pane xSplit="6" ySplit="3" topLeftCell="G31" activePane="bottomRight" state="frozen"/>
      <selection pane="topRight" activeCell="H1" sqref="H1"/>
      <selection pane="bottomLeft" activeCell="A5" sqref="A5"/>
      <selection pane="bottomRight" activeCell="D53" sqref="D53"/>
    </sheetView>
  </sheetViews>
  <sheetFormatPr defaultRowHeight="12" x14ac:dyDescent="0.2"/>
  <cols>
    <col min="1" max="2" width="2.69921875" style="218" customWidth="1"/>
    <col min="3" max="3" width="8.69921875" style="218" customWidth="1"/>
    <col min="4" max="4" width="36.5" style="220" customWidth="1"/>
    <col min="5" max="6" width="8.796875" style="220" hidden="1" customWidth="1"/>
    <col min="7" max="107" width="1.69921875" style="220" customWidth="1"/>
    <col min="108" max="108" width="2.69921875" style="217" customWidth="1"/>
    <col min="109" max="111" width="8.796875" style="217"/>
    <col min="112" max="16384" width="8.796875" style="218"/>
  </cols>
  <sheetData>
    <row r="2" spans="2:107" ht="15" customHeight="1" x14ac:dyDescent="0.2">
      <c r="B2" s="219"/>
      <c r="C2" s="607" t="s">
        <v>317</v>
      </c>
      <c r="D2" s="607"/>
      <c r="E2" s="604" t="s">
        <v>632</v>
      </c>
      <c r="F2" s="605"/>
      <c r="G2" s="604" t="s">
        <v>631</v>
      </c>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6"/>
    </row>
    <row r="3" spans="2:107" ht="21" x14ac:dyDescent="0.2">
      <c r="B3" s="234"/>
      <c r="C3" s="608"/>
      <c r="D3" s="608"/>
      <c r="E3" s="250" t="s">
        <v>6</v>
      </c>
      <c r="F3" s="254" t="s">
        <v>7</v>
      </c>
      <c r="G3" s="256">
        <v>0</v>
      </c>
      <c r="H3" s="257">
        <f>G3+1</f>
        <v>1</v>
      </c>
      <c r="I3" s="257">
        <f>H3+1</f>
        <v>2</v>
      </c>
      <c r="J3" s="257">
        <f t="shared" ref="J3:AS3" si="0">I3+1</f>
        <v>3</v>
      </c>
      <c r="K3" s="257">
        <f t="shared" si="0"/>
        <v>4</v>
      </c>
      <c r="L3" s="257">
        <f t="shared" si="0"/>
        <v>5</v>
      </c>
      <c r="M3" s="257">
        <f t="shared" si="0"/>
        <v>6</v>
      </c>
      <c r="N3" s="257">
        <f t="shared" si="0"/>
        <v>7</v>
      </c>
      <c r="O3" s="257">
        <f t="shared" si="0"/>
        <v>8</v>
      </c>
      <c r="P3" s="257">
        <f t="shared" si="0"/>
        <v>9</v>
      </c>
      <c r="Q3" s="256">
        <f t="shared" si="0"/>
        <v>10</v>
      </c>
      <c r="R3" s="257">
        <f t="shared" si="0"/>
        <v>11</v>
      </c>
      <c r="S3" s="257">
        <f t="shared" si="0"/>
        <v>12</v>
      </c>
      <c r="T3" s="257">
        <f t="shared" si="0"/>
        <v>13</v>
      </c>
      <c r="U3" s="257">
        <f t="shared" si="0"/>
        <v>14</v>
      </c>
      <c r="V3" s="257">
        <f t="shared" si="0"/>
        <v>15</v>
      </c>
      <c r="W3" s="257">
        <f t="shared" si="0"/>
        <v>16</v>
      </c>
      <c r="X3" s="257">
        <f t="shared" si="0"/>
        <v>17</v>
      </c>
      <c r="Y3" s="257">
        <f t="shared" si="0"/>
        <v>18</v>
      </c>
      <c r="Z3" s="257">
        <f t="shared" si="0"/>
        <v>19</v>
      </c>
      <c r="AA3" s="256">
        <f t="shared" si="0"/>
        <v>20</v>
      </c>
      <c r="AB3" s="257">
        <f t="shared" si="0"/>
        <v>21</v>
      </c>
      <c r="AC3" s="257">
        <f t="shared" si="0"/>
        <v>22</v>
      </c>
      <c r="AD3" s="257">
        <f t="shared" si="0"/>
        <v>23</v>
      </c>
      <c r="AE3" s="257">
        <f t="shared" si="0"/>
        <v>24</v>
      </c>
      <c r="AF3" s="257">
        <f t="shared" si="0"/>
        <v>25</v>
      </c>
      <c r="AG3" s="257">
        <f t="shared" si="0"/>
        <v>26</v>
      </c>
      <c r="AH3" s="257">
        <f t="shared" si="0"/>
        <v>27</v>
      </c>
      <c r="AI3" s="257">
        <f t="shared" si="0"/>
        <v>28</v>
      </c>
      <c r="AJ3" s="257">
        <f t="shared" si="0"/>
        <v>29</v>
      </c>
      <c r="AK3" s="256">
        <f t="shared" ref="AK3" si="1">AJ3+1</f>
        <v>30</v>
      </c>
      <c r="AL3" s="257">
        <f t="shared" si="0"/>
        <v>31</v>
      </c>
      <c r="AM3" s="257">
        <f t="shared" si="0"/>
        <v>32</v>
      </c>
      <c r="AN3" s="257">
        <f t="shared" si="0"/>
        <v>33</v>
      </c>
      <c r="AO3" s="257">
        <f t="shared" si="0"/>
        <v>34</v>
      </c>
      <c r="AP3" s="257">
        <f t="shared" si="0"/>
        <v>35</v>
      </c>
      <c r="AQ3" s="257">
        <f t="shared" si="0"/>
        <v>36</v>
      </c>
      <c r="AR3" s="257">
        <f t="shared" si="0"/>
        <v>37</v>
      </c>
      <c r="AS3" s="257">
        <f t="shared" si="0"/>
        <v>38</v>
      </c>
      <c r="AT3" s="257">
        <f t="shared" ref="AT3:BT3" si="2">AS3+1</f>
        <v>39</v>
      </c>
      <c r="AU3" s="256">
        <f t="shared" si="2"/>
        <v>40</v>
      </c>
      <c r="AV3" s="257">
        <f t="shared" si="2"/>
        <v>41</v>
      </c>
      <c r="AW3" s="257">
        <f t="shared" si="2"/>
        <v>42</v>
      </c>
      <c r="AX3" s="257">
        <f t="shared" si="2"/>
        <v>43</v>
      </c>
      <c r="AY3" s="257">
        <f t="shared" si="2"/>
        <v>44</v>
      </c>
      <c r="AZ3" s="257">
        <f t="shared" si="2"/>
        <v>45</v>
      </c>
      <c r="BA3" s="257">
        <f t="shared" si="2"/>
        <v>46</v>
      </c>
      <c r="BB3" s="257">
        <f t="shared" si="2"/>
        <v>47</v>
      </c>
      <c r="BC3" s="257">
        <f t="shared" si="2"/>
        <v>48</v>
      </c>
      <c r="BD3" s="257">
        <f t="shared" si="2"/>
        <v>49</v>
      </c>
      <c r="BE3" s="256">
        <f t="shared" si="2"/>
        <v>50</v>
      </c>
      <c r="BF3" s="257">
        <f t="shared" si="2"/>
        <v>51</v>
      </c>
      <c r="BG3" s="257">
        <f t="shared" si="2"/>
        <v>52</v>
      </c>
      <c r="BH3" s="257">
        <f t="shared" si="2"/>
        <v>53</v>
      </c>
      <c r="BI3" s="257">
        <f t="shared" si="2"/>
        <v>54</v>
      </c>
      <c r="BJ3" s="257">
        <f t="shared" si="2"/>
        <v>55</v>
      </c>
      <c r="BK3" s="257">
        <f t="shared" si="2"/>
        <v>56</v>
      </c>
      <c r="BL3" s="257">
        <f t="shared" si="2"/>
        <v>57</v>
      </c>
      <c r="BM3" s="257">
        <f t="shared" si="2"/>
        <v>58</v>
      </c>
      <c r="BN3" s="257">
        <f t="shared" si="2"/>
        <v>59</v>
      </c>
      <c r="BO3" s="256">
        <f t="shared" si="2"/>
        <v>60</v>
      </c>
      <c r="BP3" s="257">
        <f t="shared" si="2"/>
        <v>61</v>
      </c>
      <c r="BQ3" s="257">
        <f t="shared" si="2"/>
        <v>62</v>
      </c>
      <c r="BR3" s="257">
        <f t="shared" si="2"/>
        <v>63</v>
      </c>
      <c r="BS3" s="257">
        <f t="shared" si="2"/>
        <v>64</v>
      </c>
      <c r="BT3" s="257">
        <f t="shared" si="2"/>
        <v>65</v>
      </c>
      <c r="BU3" s="257">
        <f t="shared" ref="BU3:CI3" si="3">BT3+1</f>
        <v>66</v>
      </c>
      <c r="BV3" s="257">
        <f t="shared" si="3"/>
        <v>67</v>
      </c>
      <c r="BW3" s="257">
        <f t="shared" si="3"/>
        <v>68</v>
      </c>
      <c r="BX3" s="257">
        <f t="shared" si="3"/>
        <v>69</v>
      </c>
      <c r="BY3" s="256">
        <f t="shared" si="3"/>
        <v>70</v>
      </c>
      <c r="BZ3" s="257">
        <f t="shared" si="3"/>
        <v>71</v>
      </c>
      <c r="CA3" s="257">
        <f t="shared" si="3"/>
        <v>72</v>
      </c>
      <c r="CB3" s="257">
        <f t="shared" si="3"/>
        <v>73</v>
      </c>
      <c r="CC3" s="257">
        <f t="shared" si="3"/>
        <v>74</v>
      </c>
      <c r="CD3" s="257">
        <f t="shared" si="3"/>
        <v>75</v>
      </c>
      <c r="CE3" s="257">
        <f t="shared" si="3"/>
        <v>76</v>
      </c>
      <c r="CF3" s="257">
        <f t="shared" si="3"/>
        <v>77</v>
      </c>
      <c r="CG3" s="257">
        <f t="shared" si="3"/>
        <v>78</v>
      </c>
      <c r="CH3" s="257">
        <f t="shared" si="3"/>
        <v>79</v>
      </c>
      <c r="CI3" s="256">
        <f t="shared" si="3"/>
        <v>80</v>
      </c>
      <c r="CJ3" s="257">
        <f t="shared" ref="CJ3:CT3" si="4">CI3+1</f>
        <v>81</v>
      </c>
      <c r="CK3" s="257">
        <f t="shared" si="4"/>
        <v>82</v>
      </c>
      <c r="CL3" s="257">
        <f t="shared" si="4"/>
        <v>83</v>
      </c>
      <c r="CM3" s="257">
        <f t="shared" si="4"/>
        <v>84</v>
      </c>
      <c r="CN3" s="257">
        <f t="shared" si="4"/>
        <v>85</v>
      </c>
      <c r="CO3" s="257">
        <f t="shared" si="4"/>
        <v>86</v>
      </c>
      <c r="CP3" s="257">
        <f t="shared" si="4"/>
        <v>87</v>
      </c>
      <c r="CQ3" s="257">
        <f t="shared" si="4"/>
        <v>88</v>
      </c>
      <c r="CR3" s="257">
        <f t="shared" si="4"/>
        <v>89</v>
      </c>
      <c r="CS3" s="256">
        <f t="shared" si="4"/>
        <v>90</v>
      </c>
      <c r="CT3" s="257">
        <f t="shared" si="4"/>
        <v>91</v>
      </c>
      <c r="CU3" s="257">
        <f t="shared" ref="CU3:DC3" si="5">CT3+1</f>
        <v>92</v>
      </c>
      <c r="CV3" s="257">
        <f t="shared" si="5"/>
        <v>93</v>
      </c>
      <c r="CW3" s="257">
        <f t="shared" si="5"/>
        <v>94</v>
      </c>
      <c r="CX3" s="257">
        <f t="shared" si="5"/>
        <v>95</v>
      </c>
      <c r="CY3" s="257">
        <f t="shared" si="5"/>
        <v>96</v>
      </c>
      <c r="CZ3" s="257">
        <f t="shared" si="5"/>
        <v>97</v>
      </c>
      <c r="DA3" s="257">
        <f t="shared" si="5"/>
        <v>98</v>
      </c>
      <c r="DB3" s="257">
        <f t="shared" si="5"/>
        <v>99</v>
      </c>
      <c r="DC3" s="258">
        <f t="shared" si="5"/>
        <v>100</v>
      </c>
    </row>
    <row r="4" spans="2:107" x14ac:dyDescent="0.2">
      <c r="B4" s="211"/>
      <c r="E4" s="251"/>
      <c r="F4" s="252"/>
      <c r="G4" s="221"/>
      <c r="Q4" s="221"/>
      <c r="R4" s="222"/>
      <c r="S4" s="222"/>
      <c r="AA4" s="221"/>
      <c r="AK4" s="221"/>
      <c r="AU4" s="221"/>
      <c r="BE4" s="221"/>
      <c r="BF4" s="222"/>
      <c r="BO4" s="221"/>
      <c r="BP4" s="222"/>
      <c r="BY4" s="221"/>
      <c r="BZ4" s="222"/>
      <c r="CI4" s="221"/>
      <c r="CJ4" s="222"/>
      <c r="CS4" s="221"/>
      <c r="CT4" s="222"/>
      <c r="DC4" s="223"/>
    </row>
    <row r="5" spans="2:107" x14ac:dyDescent="0.2">
      <c r="B5" s="211"/>
      <c r="C5" s="612" t="str">
        <f>'Technology Matrix'!A7</f>
        <v>Green Infrastructure</v>
      </c>
      <c r="D5" s="212" t="str">
        <f>'Technology Matrix'!B7</f>
        <v>Constructed Wetlands - Surface Flow</v>
      </c>
      <c r="E5" s="253">
        <f>'Technology Matrix'!S7</f>
        <v>80</v>
      </c>
      <c r="F5" s="213">
        <f>'Technology Matrix'!T7</f>
        <v>95</v>
      </c>
      <c r="G5" s="215" t="str">
        <f t="shared" ref="G5:BR11" si="6">IF(AND(G$3&gt;=$E5,G$3&lt;=$F5),"T","F")</f>
        <v>F</v>
      </c>
      <c r="H5" s="214" t="str">
        <f t="shared" si="6"/>
        <v>F</v>
      </c>
      <c r="I5" s="214" t="str">
        <f t="shared" si="6"/>
        <v>F</v>
      </c>
      <c r="J5" s="214" t="str">
        <f t="shared" si="6"/>
        <v>F</v>
      </c>
      <c r="K5" s="214" t="str">
        <f t="shared" si="6"/>
        <v>F</v>
      </c>
      <c r="L5" s="214" t="str">
        <f t="shared" si="6"/>
        <v>F</v>
      </c>
      <c r="M5" s="214" t="str">
        <f t="shared" si="6"/>
        <v>F</v>
      </c>
      <c r="N5" s="214" t="str">
        <f t="shared" si="6"/>
        <v>F</v>
      </c>
      <c r="O5" s="214" t="str">
        <f t="shared" si="6"/>
        <v>F</v>
      </c>
      <c r="P5" s="214" t="str">
        <f t="shared" si="6"/>
        <v>F</v>
      </c>
      <c r="Q5" s="215" t="str">
        <f t="shared" ref="Q5:Q11" si="7">IF(AND(Q$3&gt;=$E5,Q$3&lt;=$F5),"T","F")</f>
        <v>F</v>
      </c>
      <c r="R5" s="214" t="str">
        <f t="shared" si="6"/>
        <v>F</v>
      </c>
      <c r="S5" s="214" t="str">
        <f t="shared" si="6"/>
        <v>F</v>
      </c>
      <c r="T5" s="214" t="str">
        <f t="shared" si="6"/>
        <v>F</v>
      </c>
      <c r="U5" s="214" t="str">
        <f t="shared" si="6"/>
        <v>F</v>
      </c>
      <c r="V5" s="214" t="str">
        <f t="shared" si="6"/>
        <v>F</v>
      </c>
      <c r="W5" s="214" t="str">
        <f t="shared" si="6"/>
        <v>F</v>
      </c>
      <c r="X5" s="214" t="str">
        <f t="shared" si="6"/>
        <v>F</v>
      </c>
      <c r="Y5" s="214" t="str">
        <f t="shared" si="6"/>
        <v>F</v>
      </c>
      <c r="Z5" s="214" t="str">
        <f t="shared" si="6"/>
        <v>F</v>
      </c>
      <c r="AA5" s="215" t="str">
        <f t="shared" si="6"/>
        <v>F</v>
      </c>
      <c r="AB5" s="214" t="str">
        <f t="shared" si="6"/>
        <v>F</v>
      </c>
      <c r="AC5" s="214" t="str">
        <f t="shared" si="6"/>
        <v>F</v>
      </c>
      <c r="AD5" s="214" t="str">
        <f t="shared" si="6"/>
        <v>F</v>
      </c>
      <c r="AE5" s="214" t="str">
        <f t="shared" si="6"/>
        <v>F</v>
      </c>
      <c r="AF5" s="214" t="str">
        <f t="shared" si="6"/>
        <v>F</v>
      </c>
      <c r="AG5" s="214" t="str">
        <f t="shared" si="6"/>
        <v>F</v>
      </c>
      <c r="AH5" s="214" t="str">
        <f t="shared" si="6"/>
        <v>F</v>
      </c>
      <c r="AI5" s="214" t="str">
        <f t="shared" si="6"/>
        <v>F</v>
      </c>
      <c r="AJ5" s="214" t="str">
        <f t="shared" si="6"/>
        <v>F</v>
      </c>
      <c r="AK5" s="215" t="str">
        <f t="shared" si="6"/>
        <v>F</v>
      </c>
      <c r="AL5" s="214" t="str">
        <f t="shared" si="6"/>
        <v>F</v>
      </c>
      <c r="AM5" s="214" t="str">
        <f t="shared" si="6"/>
        <v>F</v>
      </c>
      <c r="AN5" s="214" t="str">
        <f t="shared" si="6"/>
        <v>F</v>
      </c>
      <c r="AO5" s="214" t="str">
        <f t="shared" si="6"/>
        <v>F</v>
      </c>
      <c r="AP5" s="214" t="str">
        <f t="shared" si="6"/>
        <v>F</v>
      </c>
      <c r="AQ5" s="214" t="str">
        <f t="shared" si="6"/>
        <v>F</v>
      </c>
      <c r="AR5" s="214" t="str">
        <f t="shared" si="6"/>
        <v>F</v>
      </c>
      <c r="AS5" s="214" t="str">
        <f t="shared" si="6"/>
        <v>F</v>
      </c>
      <c r="AT5" s="214" t="str">
        <f t="shared" si="6"/>
        <v>F</v>
      </c>
      <c r="AU5" s="215" t="str">
        <f t="shared" si="6"/>
        <v>F</v>
      </c>
      <c r="AV5" s="214" t="str">
        <f t="shared" si="6"/>
        <v>F</v>
      </c>
      <c r="AW5" s="214" t="str">
        <f t="shared" si="6"/>
        <v>F</v>
      </c>
      <c r="AX5" s="214" t="str">
        <f t="shared" si="6"/>
        <v>F</v>
      </c>
      <c r="AY5" s="214" t="str">
        <f t="shared" si="6"/>
        <v>F</v>
      </c>
      <c r="AZ5" s="214" t="str">
        <f t="shared" si="6"/>
        <v>F</v>
      </c>
      <c r="BA5" s="214" t="str">
        <f t="shared" si="6"/>
        <v>F</v>
      </c>
      <c r="BB5" s="214" t="str">
        <f t="shared" si="6"/>
        <v>F</v>
      </c>
      <c r="BC5" s="214" t="str">
        <f t="shared" si="6"/>
        <v>F</v>
      </c>
      <c r="BD5" s="214" t="str">
        <f t="shared" si="6"/>
        <v>F</v>
      </c>
      <c r="BE5" s="215" t="str">
        <f t="shared" si="6"/>
        <v>F</v>
      </c>
      <c r="BF5" s="214" t="str">
        <f t="shared" si="6"/>
        <v>F</v>
      </c>
      <c r="BG5" s="214" t="str">
        <f t="shared" si="6"/>
        <v>F</v>
      </c>
      <c r="BH5" s="214" t="str">
        <f t="shared" si="6"/>
        <v>F</v>
      </c>
      <c r="BI5" s="214" t="str">
        <f t="shared" si="6"/>
        <v>F</v>
      </c>
      <c r="BJ5" s="214" t="str">
        <f t="shared" si="6"/>
        <v>F</v>
      </c>
      <c r="BK5" s="214" t="str">
        <f t="shared" si="6"/>
        <v>F</v>
      </c>
      <c r="BL5" s="214" t="str">
        <f t="shared" si="6"/>
        <v>F</v>
      </c>
      <c r="BM5" s="214" t="str">
        <f t="shared" si="6"/>
        <v>F</v>
      </c>
      <c r="BN5" s="214" t="str">
        <f t="shared" si="6"/>
        <v>F</v>
      </c>
      <c r="BO5" s="215" t="str">
        <f t="shared" si="6"/>
        <v>F</v>
      </c>
      <c r="BP5" s="214" t="str">
        <f t="shared" si="6"/>
        <v>F</v>
      </c>
      <c r="BQ5" s="214" t="str">
        <f t="shared" si="6"/>
        <v>F</v>
      </c>
      <c r="BR5" s="214" t="str">
        <f t="shared" si="6"/>
        <v>F</v>
      </c>
      <c r="BS5" s="214" t="str">
        <f t="shared" ref="BS5:DC17" si="8">IF(AND(BS$3&gt;=$E5,BS$3&lt;=$F5),"T","F")</f>
        <v>F</v>
      </c>
      <c r="BT5" s="214" t="str">
        <f t="shared" si="8"/>
        <v>F</v>
      </c>
      <c r="BU5" s="214" t="str">
        <f t="shared" si="8"/>
        <v>F</v>
      </c>
      <c r="BV5" s="214" t="str">
        <f t="shared" si="8"/>
        <v>F</v>
      </c>
      <c r="BW5" s="214" t="str">
        <f t="shared" si="8"/>
        <v>F</v>
      </c>
      <c r="BX5" s="214" t="str">
        <f t="shared" si="8"/>
        <v>F</v>
      </c>
      <c r="BY5" s="215" t="str">
        <f t="shared" si="8"/>
        <v>F</v>
      </c>
      <c r="BZ5" s="214" t="str">
        <f t="shared" si="8"/>
        <v>F</v>
      </c>
      <c r="CA5" s="214" t="str">
        <f t="shared" si="8"/>
        <v>F</v>
      </c>
      <c r="CB5" s="214" t="str">
        <f t="shared" si="8"/>
        <v>F</v>
      </c>
      <c r="CC5" s="214" t="str">
        <f t="shared" si="8"/>
        <v>F</v>
      </c>
      <c r="CD5" s="214" t="str">
        <f t="shared" si="8"/>
        <v>F</v>
      </c>
      <c r="CE5" s="214" t="str">
        <f t="shared" si="8"/>
        <v>F</v>
      </c>
      <c r="CF5" s="214" t="str">
        <f t="shared" si="8"/>
        <v>F</v>
      </c>
      <c r="CG5" s="214" t="str">
        <f t="shared" si="8"/>
        <v>F</v>
      </c>
      <c r="CH5" s="214" t="str">
        <f t="shared" si="8"/>
        <v>F</v>
      </c>
      <c r="CI5" s="225" t="str">
        <f t="shared" si="8"/>
        <v>T</v>
      </c>
      <c r="CJ5" s="224" t="str">
        <f t="shared" si="8"/>
        <v>T</v>
      </c>
      <c r="CK5" s="224" t="str">
        <f t="shared" si="8"/>
        <v>T</v>
      </c>
      <c r="CL5" s="224" t="str">
        <f t="shared" si="8"/>
        <v>T</v>
      </c>
      <c r="CM5" s="224" t="str">
        <f t="shared" si="8"/>
        <v>T</v>
      </c>
      <c r="CN5" s="224" t="str">
        <f t="shared" si="8"/>
        <v>T</v>
      </c>
      <c r="CO5" s="224" t="str">
        <f t="shared" si="8"/>
        <v>T</v>
      </c>
      <c r="CP5" s="224" t="str">
        <f t="shared" si="8"/>
        <v>T</v>
      </c>
      <c r="CQ5" s="224" t="str">
        <f t="shared" si="8"/>
        <v>T</v>
      </c>
      <c r="CR5" s="224" t="str">
        <f t="shared" si="8"/>
        <v>T</v>
      </c>
      <c r="CS5" s="225" t="str">
        <f t="shared" si="8"/>
        <v>T</v>
      </c>
      <c r="CT5" s="224" t="str">
        <f t="shared" si="8"/>
        <v>T</v>
      </c>
      <c r="CU5" s="224" t="str">
        <f t="shared" si="8"/>
        <v>T</v>
      </c>
      <c r="CV5" s="224" t="str">
        <f t="shared" si="8"/>
        <v>T</v>
      </c>
      <c r="CW5" s="224" t="str">
        <f t="shared" si="8"/>
        <v>T</v>
      </c>
      <c r="CX5" s="224" t="str">
        <f t="shared" si="8"/>
        <v>T</v>
      </c>
      <c r="CY5" s="214" t="str">
        <f t="shared" si="8"/>
        <v>F</v>
      </c>
      <c r="CZ5" s="214" t="str">
        <f t="shared" si="8"/>
        <v>F</v>
      </c>
      <c r="DA5" s="214" t="str">
        <f t="shared" si="8"/>
        <v>F</v>
      </c>
      <c r="DB5" s="214" t="str">
        <f t="shared" si="8"/>
        <v>F</v>
      </c>
      <c r="DC5" s="216" t="str">
        <f t="shared" si="8"/>
        <v>F</v>
      </c>
    </row>
    <row r="6" spans="2:107" x14ac:dyDescent="0.2">
      <c r="B6" s="211"/>
      <c r="C6" s="612"/>
      <c r="D6" s="212"/>
      <c r="E6" s="253"/>
      <c r="F6" s="213"/>
      <c r="G6" s="226"/>
      <c r="H6" s="227"/>
      <c r="I6" s="227"/>
      <c r="J6" s="227"/>
      <c r="K6" s="227"/>
      <c r="L6" s="227"/>
      <c r="M6" s="227"/>
      <c r="N6" s="227"/>
      <c r="O6" s="227"/>
      <c r="P6" s="227"/>
      <c r="Q6" s="228"/>
      <c r="R6" s="227"/>
      <c r="S6" s="227"/>
      <c r="T6" s="227"/>
      <c r="U6" s="227"/>
      <c r="V6" s="227"/>
      <c r="W6" s="227"/>
      <c r="X6" s="227"/>
      <c r="Y6" s="227"/>
      <c r="Z6" s="227"/>
      <c r="AA6" s="228"/>
      <c r="AB6" s="227"/>
      <c r="AC6" s="227"/>
      <c r="AD6" s="227"/>
      <c r="AE6" s="227"/>
      <c r="AF6" s="227"/>
      <c r="AG6" s="227"/>
      <c r="AH6" s="227"/>
      <c r="AI6" s="227"/>
      <c r="AJ6" s="227"/>
      <c r="AK6" s="228"/>
      <c r="AL6" s="227"/>
      <c r="AM6" s="227"/>
      <c r="AN6" s="227"/>
      <c r="AO6" s="227"/>
      <c r="AP6" s="227"/>
      <c r="AQ6" s="227"/>
      <c r="AR6" s="227"/>
      <c r="AS6" s="227"/>
      <c r="AT6" s="227"/>
      <c r="AU6" s="228"/>
      <c r="AV6" s="227"/>
      <c r="AW6" s="227"/>
      <c r="AX6" s="227"/>
      <c r="AY6" s="227"/>
      <c r="AZ6" s="227"/>
      <c r="BA6" s="227"/>
      <c r="BB6" s="227"/>
      <c r="BC6" s="227"/>
      <c r="BD6" s="227"/>
      <c r="BE6" s="228"/>
      <c r="BF6" s="227"/>
      <c r="BG6" s="227"/>
      <c r="BH6" s="227"/>
      <c r="BI6" s="227"/>
      <c r="BJ6" s="227"/>
      <c r="BK6" s="227"/>
      <c r="BL6" s="227"/>
      <c r="BM6" s="227"/>
      <c r="BN6" s="227"/>
      <c r="BO6" s="228"/>
      <c r="BP6" s="227"/>
      <c r="BQ6" s="227"/>
      <c r="BR6" s="227"/>
      <c r="BS6" s="227"/>
      <c r="BT6" s="227"/>
      <c r="BU6" s="227"/>
      <c r="BV6" s="227"/>
      <c r="BW6" s="227"/>
      <c r="BX6" s="227"/>
      <c r="BY6" s="228"/>
      <c r="BZ6" s="227"/>
      <c r="CA6" s="227"/>
      <c r="CB6" s="227"/>
      <c r="CC6" s="227"/>
      <c r="CD6" s="227"/>
      <c r="CE6" s="227"/>
      <c r="CF6" s="227"/>
      <c r="CG6" s="227"/>
      <c r="CH6" s="227"/>
      <c r="CI6" s="228"/>
      <c r="CJ6" s="227"/>
      <c r="CK6" s="227"/>
      <c r="CL6" s="227"/>
      <c r="CM6" s="227"/>
      <c r="CN6" s="227"/>
      <c r="CO6" s="227"/>
      <c r="CP6" s="227"/>
      <c r="CQ6" s="227"/>
      <c r="CR6" s="227"/>
      <c r="CS6" s="228"/>
      <c r="CT6" s="227"/>
      <c r="CU6" s="227"/>
      <c r="CV6" s="227"/>
      <c r="CW6" s="227"/>
      <c r="CX6" s="227"/>
      <c r="CY6" s="227"/>
      <c r="CZ6" s="227"/>
      <c r="DA6" s="227"/>
      <c r="DB6" s="227"/>
      <c r="DC6" s="229"/>
    </row>
    <row r="7" spans="2:107" x14ac:dyDescent="0.2">
      <c r="B7" s="211"/>
      <c r="C7" s="612"/>
      <c r="D7" s="212" t="str">
        <f>'Technology Matrix'!B8</f>
        <v>Constructed Wetlands - Subsurface Flow</v>
      </c>
      <c r="E7" s="253">
        <f>'Technology Matrix'!S8</f>
        <v>85</v>
      </c>
      <c r="F7" s="213">
        <f>'Technology Matrix'!T8</f>
        <v>95</v>
      </c>
      <c r="G7" s="215" t="str">
        <f t="shared" si="6"/>
        <v>F</v>
      </c>
      <c r="H7" s="214" t="str">
        <f t="shared" si="6"/>
        <v>F</v>
      </c>
      <c r="I7" s="214" t="str">
        <f t="shared" si="6"/>
        <v>F</v>
      </c>
      <c r="J7" s="214" t="str">
        <f t="shared" si="6"/>
        <v>F</v>
      </c>
      <c r="K7" s="214" t="str">
        <f t="shared" si="6"/>
        <v>F</v>
      </c>
      <c r="L7" s="214" t="str">
        <f t="shared" si="6"/>
        <v>F</v>
      </c>
      <c r="M7" s="214" t="str">
        <f t="shared" si="6"/>
        <v>F</v>
      </c>
      <c r="N7" s="214" t="str">
        <f t="shared" si="6"/>
        <v>F</v>
      </c>
      <c r="O7" s="214" t="str">
        <f t="shared" si="6"/>
        <v>F</v>
      </c>
      <c r="P7" s="214" t="str">
        <f t="shared" si="6"/>
        <v>F</v>
      </c>
      <c r="Q7" s="215" t="str">
        <f t="shared" si="7"/>
        <v>F</v>
      </c>
      <c r="R7" s="214" t="str">
        <f t="shared" si="6"/>
        <v>F</v>
      </c>
      <c r="S7" s="214" t="str">
        <f t="shared" si="6"/>
        <v>F</v>
      </c>
      <c r="T7" s="214" t="str">
        <f t="shared" si="6"/>
        <v>F</v>
      </c>
      <c r="U7" s="214" t="str">
        <f t="shared" si="6"/>
        <v>F</v>
      </c>
      <c r="V7" s="214" t="str">
        <f t="shared" si="6"/>
        <v>F</v>
      </c>
      <c r="W7" s="214" t="str">
        <f t="shared" si="6"/>
        <v>F</v>
      </c>
      <c r="X7" s="214" t="str">
        <f t="shared" si="6"/>
        <v>F</v>
      </c>
      <c r="Y7" s="214" t="str">
        <f t="shared" si="6"/>
        <v>F</v>
      </c>
      <c r="Z7" s="214" t="str">
        <f t="shared" si="6"/>
        <v>F</v>
      </c>
      <c r="AA7" s="215" t="str">
        <f t="shared" si="6"/>
        <v>F</v>
      </c>
      <c r="AB7" s="214" t="str">
        <f t="shared" si="6"/>
        <v>F</v>
      </c>
      <c r="AC7" s="214" t="str">
        <f t="shared" si="6"/>
        <v>F</v>
      </c>
      <c r="AD7" s="214" t="str">
        <f t="shared" si="6"/>
        <v>F</v>
      </c>
      <c r="AE7" s="214" t="str">
        <f t="shared" si="6"/>
        <v>F</v>
      </c>
      <c r="AF7" s="214" t="str">
        <f t="shared" si="6"/>
        <v>F</v>
      </c>
      <c r="AG7" s="214" t="str">
        <f t="shared" si="6"/>
        <v>F</v>
      </c>
      <c r="AH7" s="214" t="str">
        <f t="shared" si="6"/>
        <v>F</v>
      </c>
      <c r="AI7" s="214" t="str">
        <f t="shared" si="6"/>
        <v>F</v>
      </c>
      <c r="AJ7" s="214" t="str">
        <f t="shared" si="6"/>
        <v>F</v>
      </c>
      <c r="AK7" s="215" t="str">
        <f t="shared" si="6"/>
        <v>F</v>
      </c>
      <c r="AL7" s="214" t="str">
        <f t="shared" si="6"/>
        <v>F</v>
      </c>
      <c r="AM7" s="214" t="str">
        <f t="shared" si="6"/>
        <v>F</v>
      </c>
      <c r="AN7" s="214" t="str">
        <f t="shared" si="6"/>
        <v>F</v>
      </c>
      <c r="AO7" s="214" t="str">
        <f t="shared" si="6"/>
        <v>F</v>
      </c>
      <c r="AP7" s="214" t="str">
        <f t="shared" si="6"/>
        <v>F</v>
      </c>
      <c r="AQ7" s="214" t="str">
        <f t="shared" si="6"/>
        <v>F</v>
      </c>
      <c r="AR7" s="214" t="str">
        <f t="shared" si="6"/>
        <v>F</v>
      </c>
      <c r="AS7" s="214" t="str">
        <f t="shared" si="6"/>
        <v>F</v>
      </c>
      <c r="AT7" s="214" t="str">
        <f t="shared" si="6"/>
        <v>F</v>
      </c>
      <c r="AU7" s="215" t="str">
        <f t="shared" si="6"/>
        <v>F</v>
      </c>
      <c r="AV7" s="214" t="str">
        <f t="shared" si="6"/>
        <v>F</v>
      </c>
      <c r="AW7" s="214" t="str">
        <f t="shared" si="6"/>
        <v>F</v>
      </c>
      <c r="AX7" s="214" t="str">
        <f t="shared" si="6"/>
        <v>F</v>
      </c>
      <c r="AY7" s="214" t="str">
        <f t="shared" si="6"/>
        <v>F</v>
      </c>
      <c r="AZ7" s="214" t="str">
        <f t="shared" si="6"/>
        <v>F</v>
      </c>
      <c r="BA7" s="214" t="str">
        <f t="shared" si="6"/>
        <v>F</v>
      </c>
      <c r="BB7" s="214" t="str">
        <f t="shared" si="6"/>
        <v>F</v>
      </c>
      <c r="BC7" s="214" t="str">
        <f t="shared" si="6"/>
        <v>F</v>
      </c>
      <c r="BD7" s="214" t="str">
        <f t="shared" si="6"/>
        <v>F</v>
      </c>
      <c r="BE7" s="215" t="str">
        <f t="shared" si="6"/>
        <v>F</v>
      </c>
      <c r="BF7" s="214" t="str">
        <f t="shared" si="6"/>
        <v>F</v>
      </c>
      <c r="BG7" s="214" t="str">
        <f t="shared" si="6"/>
        <v>F</v>
      </c>
      <c r="BH7" s="214" t="str">
        <f t="shared" si="6"/>
        <v>F</v>
      </c>
      <c r="BI7" s="214" t="str">
        <f t="shared" si="6"/>
        <v>F</v>
      </c>
      <c r="BJ7" s="214" t="str">
        <f t="shared" si="6"/>
        <v>F</v>
      </c>
      <c r="BK7" s="214" t="str">
        <f t="shared" si="6"/>
        <v>F</v>
      </c>
      <c r="BL7" s="214" t="str">
        <f t="shared" si="6"/>
        <v>F</v>
      </c>
      <c r="BM7" s="214" t="str">
        <f t="shared" si="6"/>
        <v>F</v>
      </c>
      <c r="BN7" s="214" t="str">
        <f t="shared" si="6"/>
        <v>F</v>
      </c>
      <c r="BO7" s="215" t="str">
        <f t="shared" si="6"/>
        <v>F</v>
      </c>
      <c r="BP7" s="214" t="str">
        <f t="shared" si="6"/>
        <v>F</v>
      </c>
      <c r="BQ7" s="214" t="str">
        <f t="shared" si="6"/>
        <v>F</v>
      </c>
      <c r="BR7" s="214" t="str">
        <f t="shared" si="6"/>
        <v>F</v>
      </c>
      <c r="BS7" s="214" t="str">
        <f t="shared" si="8"/>
        <v>F</v>
      </c>
      <c r="BT7" s="214" t="str">
        <f t="shared" si="8"/>
        <v>F</v>
      </c>
      <c r="BU7" s="214" t="str">
        <f t="shared" si="8"/>
        <v>F</v>
      </c>
      <c r="BV7" s="214" t="str">
        <f t="shared" si="8"/>
        <v>F</v>
      </c>
      <c r="BW7" s="214" t="str">
        <f t="shared" si="8"/>
        <v>F</v>
      </c>
      <c r="BX7" s="214" t="str">
        <f t="shared" si="8"/>
        <v>F</v>
      </c>
      <c r="BY7" s="215" t="str">
        <f t="shared" si="8"/>
        <v>F</v>
      </c>
      <c r="BZ7" s="214" t="str">
        <f t="shared" si="8"/>
        <v>F</v>
      </c>
      <c r="CA7" s="214" t="str">
        <f t="shared" si="8"/>
        <v>F</v>
      </c>
      <c r="CB7" s="214" t="str">
        <f t="shared" si="8"/>
        <v>F</v>
      </c>
      <c r="CC7" s="214" t="str">
        <f t="shared" si="8"/>
        <v>F</v>
      </c>
      <c r="CD7" s="214" t="str">
        <f t="shared" si="8"/>
        <v>F</v>
      </c>
      <c r="CE7" s="214" t="str">
        <f t="shared" si="8"/>
        <v>F</v>
      </c>
      <c r="CF7" s="214" t="str">
        <f t="shared" si="8"/>
        <v>F</v>
      </c>
      <c r="CG7" s="214" t="str">
        <f t="shared" si="8"/>
        <v>F</v>
      </c>
      <c r="CH7" s="214" t="str">
        <f t="shared" si="8"/>
        <v>F</v>
      </c>
      <c r="CI7" s="231" t="str">
        <f t="shared" si="8"/>
        <v>F</v>
      </c>
      <c r="CJ7" s="230" t="str">
        <f t="shared" si="8"/>
        <v>F</v>
      </c>
      <c r="CK7" s="230" t="str">
        <f t="shared" si="8"/>
        <v>F</v>
      </c>
      <c r="CL7" s="230" t="str">
        <f t="shared" si="8"/>
        <v>F</v>
      </c>
      <c r="CM7" s="230" t="str">
        <f t="shared" si="8"/>
        <v>F</v>
      </c>
      <c r="CN7" s="230" t="str">
        <f t="shared" si="8"/>
        <v>T</v>
      </c>
      <c r="CO7" s="230" t="str">
        <f t="shared" si="8"/>
        <v>T</v>
      </c>
      <c r="CP7" s="230" t="str">
        <f t="shared" si="8"/>
        <v>T</v>
      </c>
      <c r="CQ7" s="230" t="str">
        <f t="shared" si="8"/>
        <v>T</v>
      </c>
      <c r="CR7" s="230" t="str">
        <f t="shared" si="8"/>
        <v>T</v>
      </c>
      <c r="CS7" s="231" t="str">
        <f t="shared" si="8"/>
        <v>T</v>
      </c>
      <c r="CT7" s="230" t="str">
        <f t="shared" si="8"/>
        <v>T</v>
      </c>
      <c r="CU7" s="230" t="str">
        <f t="shared" si="8"/>
        <v>T</v>
      </c>
      <c r="CV7" s="230" t="str">
        <f t="shared" si="8"/>
        <v>T</v>
      </c>
      <c r="CW7" s="230" t="str">
        <f t="shared" si="8"/>
        <v>T</v>
      </c>
      <c r="CX7" s="230" t="str">
        <f t="shared" si="8"/>
        <v>T</v>
      </c>
      <c r="CY7" s="214" t="str">
        <f t="shared" si="8"/>
        <v>F</v>
      </c>
      <c r="CZ7" s="214" t="str">
        <f t="shared" si="8"/>
        <v>F</v>
      </c>
      <c r="DA7" s="214" t="str">
        <f t="shared" si="8"/>
        <v>F</v>
      </c>
      <c r="DB7" s="214" t="str">
        <f t="shared" si="8"/>
        <v>F</v>
      </c>
      <c r="DC7" s="216" t="str">
        <f t="shared" si="8"/>
        <v>F</v>
      </c>
    </row>
    <row r="8" spans="2:107" x14ac:dyDescent="0.2">
      <c r="B8" s="211"/>
      <c r="C8" s="612"/>
      <c r="D8" s="212"/>
      <c r="E8" s="253"/>
      <c r="F8" s="213"/>
      <c r="G8" s="226"/>
      <c r="H8" s="227"/>
      <c r="I8" s="227"/>
      <c r="J8" s="227"/>
      <c r="K8" s="227"/>
      <c r="L8" s="227"/>
      <c r="M8" s="227"/>
      <c r="N8" s="227"/>
      <c r="O8" s="227"/>
      <c r="P8" s="227"/>
      <c r="Q8" s="228"/>
      <c r="R8" s="227"/>
      <c r="S8" s="227"/>
      <c r="T8" s="227"/>
      <c r="U8" s="227"/>
      <c r="V8" s="227"/>
      <c r="W8" s="227"/>
      <c r="X8" s="227"/>
      <c r="Y8" s="227"/>
      <c r="Z8" s="227"/>
      <c r="AA8" s="228"/>
      <c r="AB8" s="227"/>
      <c r="AC8" s="227"/>
      <c r="AD8" s="227"/>
      <c r="AE8" s="227"/>
      <c r="AF8" s="227"/>
      <c r="AG8" s="227"/>
      <c r="AH8" s="227"/>
      <c r="AI8" s="227"/>
      <c r="AJ8" s="227"/>
      <c r="AK8" s="228"/>
      <c r="AL8" s="227"/>
      <c r="AM8" s="227"/>
      <c r="AN8" s="227"/>
      <c r="AO8" s="227"/>
      <c r="AP8" s="227"/>
      <c r="AQ8" s="227"/>
      <c r="AR8" s="227"/>
      <c r="AS8" s="227"/>
      <c r="AT8" s="227"/>
      <c r="AU8" s="228"/>
      <c r="AV8" s="227"/>
      <c r="AW8" s="227"/>
      <c r="AX8" s="227"/>
      <c r="AY8" s="227"/>
      <c r="AZ8" s="227"/>
      <c r="BA8" s="227"/>
      <c r="BB8" s="227"/>
      <c r="BC8" s="227"/>
      <c r="BD8" s="227"/>
      <c r="BE8" s="228"/>
      <c r="BF8" s="227"/>
      <c r="BG8" s="227"/>
      <c r="BH8" s="227"/>
      <c r="BI8" s="227"/>
      <c r="BJ8" s="227"/>
      <c r="BK8" s="227"/>
      <c r="BL8" s="227"/>
      <c r="BM8" s="227"/>
      <c r="BN8" s="227"/>
      <c r="BO8" s="228"/>
      <c r="BP8" s="227"/>
      <c r="BQ8" s="227"/>
      <c r="BR8" s="227"/>
      <c r="BS8" s="227"/>
      <c r="BT8" s="227"/>
      <c r="BU8" s="227"/>
      <c r="BV8" s="227"/>
      <c r="BW8" s="227"/>
      <c r="BX8" s="227"/>
      <c r="BY8" s="228"/>
      <c r="BZ8" s="227"/>
      <c r="CA8" s="227"/>
      <c r="CB8" s="227"/>
      <c r="CC8" s="227"/>
      <c r="CD8" s="227"/>
      <c r="CE8" s="227"/>
      <c r="CF8" s="227"/>
      <c r="CG8" s="227"/>
      <c r="CH8" s="227"/>
      <c r="CI8" s="228"/>
      <c r="CJ8" s="227"/>
      <c r="CK8" s="227"/>
      <c r="CL8" s="227"/>
      <c r="CM8" s="227"/>
      <c r="CN8" s="227"/>
      <c r="CO8" s="227"/>
      <c r="CP8" s="227"/>
      <c r="CQ8" s="227"/>
      <c r="CR8" s="227"/>
      <c r="CS8" s="228"/>
      <c r="CT8" s="227"/>
      <c r="CU8" s="227"/>
      <c r="CV8" s="227"/>
      <c r="CW8" s="227"/>
      <c r="CX8" s="227"/>
      <c r="CY8" s="227"/>
      <c r="CZ8" s="227"/>
      <c r="DA8" s="227"/>
      <c r="DB8" s="227"/>
      <c r="DC8" s="229"/>
    </row>
    <row r="9" spans="2:107" x14ac:dyDescent="0.2">
      <c r="B9" s="211"/>
      <c r="C9" s="612"/>
      <c r="D9" s="212" t="str">
        <f>'Technology Matrix'!B9</f>
        <v>Constructed Wetlands - Groundwater Treatment</v>
      </c>
      <c r="E9" s="253">
        <f>'Technology Matrix'!S9</f>
        <v>85</v>
      </c>
      <c r="F9" s="213">
        <f>'Technology Matrix'!T9</f>
        <v>95</v>
      </c>
      <c r="G9" s="215" t="str">
        <f t="shared" si="6"/>
        <v>F</v>
      </c>
      <c r="H9" s="214" t="str">
        <f t="shared" si="6"/>
        <v>F</v>
      </c>
      <c r="I9" s="214" t="str">
        <f t="shared" si="6"/>
        <v>F</v>
      </c>
      <c r="J9" s="214" t="str">
        <f t="shared" si="6"/>
        <v>F</v>
      </c>
      <c r="K9" s="214" t="str">
        <f t="shared" si="6"/>
        <v>F</v>
      </c>
      <c r="L9" s="214" t="str">
        <f t="shared" si="6"/>
        <v>F</v>
      </c>
      <c r="M9" s="214" t="str">
        <f t="shared" si="6"/>
        <v>F</v>
      </c>
      <c r="N9" s="214" t="str">
        <f t="shared" si="6"/>
        <v>F</v>
      </c>
      <c r="O9" s="214" t="str">
        <f t="shared" si="6"/>
        <v>F</v>
      </c>
      <c r="P9" s="214" t="str">
        <f t="shared" si="6"/>
        <v>F</v>
      </c>
      <c r="Q9" s="215" t="str">
        <f t="shared" si="7"/>
        <v>F</v>
      </c>
      <c r="R9" s="214" t="str">
        <f t="shared" si="6"/>
        <v>F</v>
      </c>
      <c r="S9" s="214" t="str">
        <f t="shared" si="6"/>
        <v>F</v>
      </c>
      <c r="T9" s="214" t="str">
        <f t="shared" si="6"/>
        <v>F</v>
      </c>
      <c r="U9" s="214" t="str">
        <f t="shared" si="6"/>
        <v>F</v>
      </c>
      <c r="V9" s="214" t="str">
        <f t="shared" si="6"/>
        <v>F</v>
      </c>
      <c r="W9" s="214" t="str">
        <f t="shared" si="6"/>
        <v>F</v>
      </c>
      <c r="X9" s="214" t="str">
        <f t="shared" si="6"/>
        <v>F</v>
      </c>
      <c r="Y9" s="214" t="str">
        <f t="shared" si="6"/>
        <v>F</v>
      </c>
      <c r="Z9" s="214" t="str">
        <f t="shared" si="6"/>
        <v>F</v>
      </c>
      <c r="AA9" s="215" t="str">
        <f t="shared" si="6"/>
        <v>F</v>
      </c>
      <c r="AB9" s="214" t="str">
        <f t="shared" si="6"/>
        <v>F</v>
      </c>
      <c r="AC9" s="214" t="str">
        <f t="shared" si="6"/>
        <v>F</v>
      </c>
      <c r="AD9" s="214" t="str">
        <f t="shared" si="6"/>
        <v>F</v>
      </c>
      <c r="AE9" s="214" t="str">
        <f t="shared" si="6"/>
        <v>F</v>
      </c>
      <c r="AF9" s="214" t="str">
        <f t="shared" si="6"/>
        <v>F</v>
      </c>
      <c r="AG9" s="214" t="str">
        <f t="shared" si="6"/>
        <v>F</v>
      </c>
      <c r="AH9" s="214" t="str">
        <f t="shared" si="6"/>
        <v>F</v>
      </c>
      <c r="AI9" s="214" t="str">
        <f t="shared" si="6"/>
        <v>F</v>
      </c>
      <c r="AJ9" s="214" t="str">
        <f t="shared" si="6"/>
        <v>F</v>
      </c>
      <c r="AK9" s="215" t="str">
        <f t="shared" si="6"/>
        <v>F</v>
      </c>
      <c r="AL9" s="214" t="str">
        <f t="shared" si="6"/>
        <v>F</v>
      </c>
      <c r="AM9" s="214" t="str">
        <f t="shared" si="6"/>
        <v>F</v>
      </c>
      <c r="AN9" s="214" t="str">
        <f t="shared" si="6"/>
        <v>F</v>
      </c>
      <c r="AO9" s="214" t="str">
        <f t="shared" si="6"/>
        <v>F</v>
      </c>
      <c r="AP9" s="214" t="str">
        <f t="shared" si="6"/>
        <v>F</v>
      </c>
      <c r="AQ9" s="214" t="str">
        <f t="shared" si="6"/>
        <v>F</v>
      </c>
      <c r="AR9" s="214" t="str">
        <f t="shared" si="6"/>
        <v>F</v>
      </c>
      <c r="AS9" s="214" t="str">
        <f t="shared" si="6"/>
        <v>F</v>
      </c>
      <c r="AT9" s="214" t="str">
        <f t="shared" si="6"/>
        <v>F</v>
      </c>
      <c r="AU9" s="215" t="str">
        <f t="shared" si="6"/>
        <v>F</v>
      </c>
      <c r="AV9" s="214" t="str">
        <f t="shared" si="6"/>
        <v>F</v>
      </c>
      <c r="AW9" s="214" t="str">
        <f t="shared" si="6"/>
        <v>F</v>
      </c>
      <c r="AX9" s="214" t="str">
        <f t="shared" si="6"/>
        <v>F</v>
      </c>
      <c r="AY9" s="214" t="str">
        <f t="shared" si="6"/>
        <v>F</v>
      </c>
      <c r="AZ9" s="214" t="str">
        <f t="shared" si="6"/>
        <v>F</v>
      </c>
      <c r="BA9" s="214" t="str">
        <f t="shared" si="6"/>
        <v>F</v>
      </c>
      <c r="BB9" s="214" t="str">
        <f t="shared" si="6"/>
        <v>F</v>
      </c>
      <c r="BC9" s="214" t="str">
        <f t="shared" si="6"/>
        <v>F</v>
      </c>
      <c r="BD9" s="214" t="str">
        <f t="shared" si="6"/>
        <v>F</v>
      </c>
      <c r="BE9" s="215" t="str">
        <f t="shared" si="6"/>
        <v>F</v>
      </c>
      <c r="BF9" s="214" t="str">
        <f t="shared" si="6"/>
        <v>F</v>
      </c>
      <c r="BG9" s="214" t="str">
        <f t="shared" si="6"/>
        <v>F</v>
      </c>
      <c r="BH9" s="214" t="str">
        <f t="shared" si="6"/>
        <v>F</v>
      </c>
      <c r="BI9" s="214" t="str">
        <f t="shared" si="6"/>
        <v>F</v>
      </c>
      <c r="BJ9" s="214" t="str">
        <f t="shared" si="6"/>
        <v>F</v>
      </c>
      <c r="BK9" s="214" t="str">
        <f t="shared" si="6"/>
        <v>F</v>
      </c>
      <c r="BL9" s="214" t="str">
        <f t="shared" si="6"/>
        <v>F</v>
      </c>
      <c r="BM9" s="214" t="str">
        <f t="shared" si="6"/>
        <v>F</v>
      </c>
      <c r="BN9" s="214" t="str">
        <f t="shared" si="6"/>
        <v>F</v>
      </c>
      <c r="BO9" s="215" t="str">
        <f t="shared" si="6"/>
        <v>F</v>
      </c>
      <c r="BP9" s="214" t="str">
        <f t="shared" si="6"/>
        <v>F</v>
      </c>
      <c r="BQ9" s="214" t="str">
        <f t="shared" si="6"/>
        <v>F</v>
      </c>
      <c r="BR9" s="214" t="str">
        <f t="shared" si="6"/>
        <v>F</v>
      </c>
      <c r="BS9" s="214" t="str">
        <f t="shared" si="8"/>
        <v>F</v>
      </c>
      <c r="BT9" s="214" t="str">
        <f t="shared" si="8"/>
        <v>F</v>
      </c>
      <c r="BU9" s="214" t="str">
        <f t="shared" si="8"/>
        <v>F</v>
      </c>
      <c r="BV9" s="214" t="str">
        <f t="shared" si="8"/>
        <v>F</v>
      </c>
      <c r="BW9" s="214" t="str">
        <f t="shared" si="8"/>
        <v>F</v>
      </c>
      <c r="BX9" s="214" t="str">
        <f t="shared" si="8"/>
        <v>F</v>
      </c>
      <c r="BY9" s="215" t="str">
        <f t="shared" si="8"/>
        <v>F</v>
      </c>
      <c r="BZ9" s="214" t="str">
        <f t="shared" si="8"/>
        <v>F</v>
      </c>
      <c r="CA9" s="214" t="str">
        <f t="shared" si="8"/>
        <v>F</v>
      </c>
      <c r="CB9" s="214" t="str">
        <f t="shared" si="8"/>
        <v>F</v>
      </c>
      <c r="CC9" s="214" t="str">
        <f t="shared" si="8"/>
        <v>F</v>
      </c>
      <c r="CD9" s="214" t="str">
        <f t="shared" si="8"/>
        <v>F</v>
      </c>
      <c r="CE9" s="214" t="str">
        <f t="shared" si="8"/>
        <v>F</v>
      </c>
      <c r="CF9" s="214" t="str">
        <f t="shared" si="8"/>
        <v>F</v>
      </c>
      <c r="CG9" s="214" t="str">
        <f t="shared" si="8"/>
        <v>F</v>
      </c>
      <c r="CH9" s="214" t="str">
        <f t="shared" si="8"/>
        <v>F</v>
      </c>
      <c r="CI9" s="225" t="str">
        <f t="shared" si="8"/>
        <v>F</v>
      </c>
      <c r="CJ9" s="224" t="str">
        <f t="shared" si="8"/>
        <v>F</v>
      </c>
      <c r="CK9" s="224" t="str">
        <f t="shared" si="8"/>
        <v>F</v>
      </c>
      <c r="CL9" s="224" t="str">
        <f t="shared" si="8"/>
        <v>F</v>
      </c>
      <c r="CM9" s="224" t="str">
        <f t="shared" si="8"/>
        <v>F</v>
      </c>
      <c r="CN9" s="224" t="str">
        <f t="shared" si="8"/>
        <v>T</v>
      </c>
      <c r="CO9" s="224" t="str">
        <f t="shared" si="8"/>
        <v>T</v>
      </c>
      <c r="CP9" s="224" t="str">
        <f t="shared" si="8"/>
        <v>T</v>
      </c>
      <c r="CQ9" s="224" t="str">
        <f t="shared" si="8"/>
        <v>T</v>
      </c>
      <c r="CR9" s="224" t="str">
        <f t="shared" si="8"/>
        <v>T</v>
      </c>
      <c r="CS9" s="225" t="str">
        <f t="shared" si="8"/>
        <v>T</v>
      </c>
      <c r="CT9" s="224" t="str">
        <f t="shared" si="8"/>
        <v>T</v>
      </c>
      <c r="CU9" s="224" t="str">
        <f t="shared" si="8"/>
        <v>T</v>
      </c>
      <c r="CV9" s="224" t="str">
        <f t="shared" si="8"/>
        <v>T</v>
      </c>
      <c r="CW9" s="224" t="str">
        <f t="shared" si="8"/>
        <v>T</v>
      </c>
      <c r="CX9" s="224" t="str">
        <f t="shared" si="8"/>
        <v>T</v>
      </c>
      <c r="CY9" s="214" t="str">
        <f t="shared" si="8"/>
        <v>F</v>
      </c>
      <c r="CZ9" s="214" t="str">
        <f t="shared" si="8"/>
        <v>F</v>
      </c>
      <c r="DA9" s="214" t="str">
        <f t="shared" si="8"/>
        <v>F</v>
      </c>
      <c r="DB9" s="214" t="str">
        <f t="shared" si="8"/>
        <v>F</v>
      </c>
      <c r="DC9" s="216" t="str">
        <f t="shared" si="8"/>
        <v>F</v>
      </c>
    </row>
    <row r="10" spans="2:107" x14ac:dyDescent="0.2">
      <c r="B10" s="211"/>
      <c r="C10" s="612"/>
      <c r="D10" s="212"/>
      <c r="E10" s="253"/>
      <c r="F10" s="213"/>
      <c r="G10" s="226"/>
      <c r="H10" s="227"/>
      <c r="I10" s="227"/>
      <c r="J10" s="227"/>
      <c r="K10" s="227"/>
      <c r="L10" s="227"/>
      <c r="M10" s="227"/>
      <c r="N10" s="227"/>
      <c r="O10" s="227"/>
      <c r="P10" s="227"/>
      <c r="Q10" s="228"/>
      <c r="R10" s="227"/>
      <c r="S10" s="227"/>
      <c r="T10" s="227"/>
      <c r="U10" s="227"/>
      <c r="V10" s="227"/>
      <c r="W10" s="227"/>
      <c r="X10" s="227"/>
      <c r="Y10" s="227"/>
      <c r="Z10" s="227"/>
      <c r="AA10" s="228"/>
      <c r="AB10" s="227"/>
      <c r="AC10" s="227"/>
      <c r="AD10" s="227"/>
      <c r="AE10" s="227"/>
      <c r="AF10" s="227"/>
      <c r="AG10" s="227"/>
      <c r="AH10" s="227"/>
      <c r="AI10" s="227"/>
      <c r="AJ10" s="227"/>
      <c r="AK10" s="228"/>
      <c r="AL10" s="227"/>
      <c r="AM10" s="227"/>
      <c r="AN10" s="227"/>
      <c r="AO10" s="227"/>
      <c r="AP10" s="227"/>
      <c r="AQ10" s="227"/>
      <c r="AR10" s="227"/>
      <c r="AS10" s="227"/>
      <c r="AT10" s="227"/>
      <c r="AU10" s="228"/>
      <c r="AV10" s="227"/>
      <c r="AW10" s="227"/>
      <c r="AX10" s="227"/>
      <c r="AY10" s="227"/>
      <c r="AZ10" s="227"/>
      <c r="BA10" s="227"/>
      <c r="BB10" s="227"/>
      <c r="BC10" s="227"/>
      <c r="BD10" s="227"/>
      <c r="BE10" s="228"/>
      <c r="BF10" s="227"/>
      <c r="BG10" s="227"/>
      <c r="BH10" s="227"/>
      <c r="BI10" s="227"/>
      <c r="BJ10" s="227"/>
      <c r="BK10" s="227"/>
      <c r="BL10" s="227"/>
      <c r="BM10" s="227"/>
      <c r="BN10" s="227"/>
      <c r="BO10" s="228"/>
      <c r="BP10" s="227"/>
      <c r="BQ10" s="227"/>
      <c r="BR10" s="227"/>
      <c r="BS10" s="227"/>
      <c r="BT10" s="227"/>
      <c r="BU10" s="227"/>
      <c r="BV10" s="227"/>
      <c r="BW10" s="227"/>
      <c r="BX10" s="227"/>
      <c r="BY10" s="228"/>
      <c r="BZ10" s="227"/>
      <c r="CA10" s="227"/>
      <c r="CB10" s="227"/>
      <c r="CC10" s="227"/>
      <c r="CD10" s="227"/>
      <c r="CE10" s="227"/>
      <c r="CF10" s="227"/>
      <c r="CG10" s="227"/>
      <c r="CH10" s="227"/>
      <c r="CI10" s="228"/>
      <c r="CJ10" s="227"/>
      <c r="CK10" s="227"/>
      <c r="CL10" s="227"/>
      <c r="CM10" s="227"/>
      <c r="CN10" s="227"/>
      <c r="CO10" s="227"/>
      <c r="CP10" s="227"/>
      <c r="CQ10" s="227"/>
      <c r="CR10" s="227"/>
      <c r="CS10" s="228"/>
      <c r="CT10" s="227"/>
      <c r="CU10" s="227"/>
      <c r="CV10" s="227"/>
      <c r="CW10" s="227"/>
      <c r="CX10" s="227"/>
      <c r="CY10" s="227"/>
      <c r="CZ10" s="227"/>
      <c r="DA10" s="227"/>
      <c r="DB10" s="227"/>
      <c r="DC10" s="229"/>
    </row>
    <row r="11" spans="2:107" x14ac:dyDescent="0.2">
      <c r="B11" s="211"/>
      <c r="C11" s="612"/>
      <c r="D11" s="212" t="str">
        <f>'Technology Matrix'!B10</f>
        <v>Hydroponic Treatment</v>
      </c>
      <c r="E11" s="253">
        <f>'Technology Matrix'!S10</f>
        <v>58</v>
      </c>
      <c r="F11" s="213">
        <f>'Technology Matrix'!T10</f>
        <v>98</v>
      </c>
      <c r="G11" s="215" t="str">
        <f t="shared" si="6"/>
        <v>F</v>
      </c>
      <c r="H11" s="214" t="str">
        <f t="shared" si="6"/>
        <v>F</v>
      </c>
      <c r="I11" s="214" t="str">
        <f t="shared" si="6"/>
        <v>F</v>
      </c>
      <c r="J11" s="214" t="str">
        <f t="shared" si="6"/>
        <v>F</v>
      </c>
      <c r="K11" s="214" t="str">
        <f t="shared" si="6"/>
        <v>F</v>
      </c>
      <c r="L11" s="214" t="str">
        <f t="shared" si="6"/>
        <v>F</v>
      </c>
      <c r="M11" s="214" t="str">
        <f t="shared" si="6"/>
        <v>F</v>
      </c>
      <c r="N11" s="214" t="str">
        <f t="shared" si="6"/>
        <v>F</v>
      </c>
      <c r="O11" s="214" t="str">
        <f t="shared" si="6"/>
        <v>F</v>
      </c>
      <c r="P11" s="214" t="str">
        <f t="shared" si="6"/>
        <v>F</v>
      </c>
      <c r="Q11" s="215" t="str">
        <f t="shared" si="7"/>
        <v>F</v>
      </c>
      <c r="R11" s="214" t="str">
        <f t="shared" si="6"/>
        <v>F</v>
      </c>
      <c r="S11" s="214" t="str">
        <f t="shared" si="6"/>
        <v>F</v>
      </c>
      <c r="T11" s="214" t="str">
        <f t="shared" si="6"/>
        <v>F</v>
      </c>
      <c r="U11" s="214" t="str">
        <f t="shared" si="6"/>
        <v>F</v>
      </c>
      <c r="V11" s="214" t="str">
        <f t="shared" si="6"/>
        <v>F</v>
      </c>
      <c r="W11" s="214" t="str">
        <f t="shared" si="6"/>
        <v>F</v>
      </c>
      <c r="X11" s="214" t="str">
        <f t="shared" si="6"/>
        <v>F</v>
      </c>
      <c r="Y11" s="214" t="str">
        <f t="shared" si="6"/>
        <v>F</v>
      </c>
      <c r="Z11" s="214" t="str">
        <f t="shared" si="6"/>
        <v>F</v>
      </c>
      <c r="AA11" s="215" t="str">
        <f t="shared" si="6"/>
        <v>F</v>
      </c>
      <c r="AB11" s="214" t="str">
        <f t="shared" si="6"/>
        <v>F</v>
      </c>
      <c r="AC11" s="214" t="str">
        <f t="shared" si="6"/>
        <v>F</v>
      </c>
      <c r="AD11" s="214" t="str">
        <f t="shared" si="6"/>
        <v>F</v>
      </c>
      <c r="AE11" s="214" t="str">
        <f t="shared" si="6"/>
        <v>F</v>
      </c>
      <c r="AF11" s="214" t="str">
        <f t="shared" si="6"/>
        <v>F</v>
      </c>
      <c r="AG11" s="214" t="str">
        <f t="shared" si="6"/>
        <v>F</v>
      </c>
      <c r="AH11" s="214" t="str">
        <f t="shared" si="6"/>
        <v>F</v>
      </c>
      <c r="AI11" s="214" t="str">
        <f t="shared" si="6"/>
        <v>F</v>
      </c>
      <c r="AJ11" s="214" t="str">
        <f t="shared" si="6"/>
        <v>F</v>
      </c>
      <c r="AK11" s="215" t="str">
        <f t="shared" si="6"/>
        <v>F</v>
      </c>
      <c r="AL11" s="214" t="str">
        <f t="shared" si="6"/>
        <v>F</v>
      </c>
      <c r="AM11" s="214" t="str">
        <f t="shared" si="6"/>
        <v>F</v>
      </c>
      <c r="AN11" s="214" t="str">
        <f t="shared" si="6"/>
        <v>F</v>
      </c>
      <c r="AO11" s="214" t="str">
        <f t="shared" si="6"/>
        <v>F</v>
      </c>
      <c r="AP11" s="214" t="str">
        <f t="shared" si="6"/>
        <v>F</v>
      </c>
      <c r="AQ11" s="214" t="str">
        <f t="shared" si="6"/>
        <v>F</v>
      </c>
      <c r="AR11" s="214" t="str">
        <f t="shared" si="6"/>
        <v>F</v>
      </c>
      <c r="AS11" s="214" t="str">
        <f t="shared" si="6"/>
        <v>F</v>
      </c>
      <c r="AT11" s="214" t="str">
        <f t="shared" si="6"/>
        <v>F</v>
      </c>
      <c r="AU11" s="215" t="str">
        <f t="shared" si="6"/>
        <v>F</v>
      </c>
      <c r="AV11" s="214" t="str">
        <f t="shared" si="6"/>
        <v>F</v>
      </c>
      <c r="AW11" s="214" t="str">
        <f t="shared" si="6"/>
        <v>F</v>
      </c>
      <c r="AX11" s="214" t="str">
        <f t="shared" si="6"/>
        <v>F</v>
      </c>
      <c r="AY11" s="214" t="str">
        <f t="shared" si="6"/>
        <v>F</v>
      </c>
      <c r="AZ11" s="214" t="str">
        <f t="shared" si="6"/>
        <v>F</v>
      </c>
      <c r="BA11" s="214" t="str">
        <f t="shared" si="6"/>
        <v>F</v>
      </c>
      <c r="BB11" s="214" t="str">
        <f t="shared" si="6"/>
        <v>F</v>
      </c>
      <c r="BC11" s="214" t="str">
        <f t="shared" si="6"/>
        <v>F</v>
      </c>
      <c r="BD11" s="214" t="str">
        <f t="shared" si="6"/>
        <v>F</v>
      </c>
      <c r="BE11" s="215" t="str">
        <f t="shared" si="6"/>
        <v>F</v>
      </c>
      <c r="BF11" s="214" t="str">
        <f t="shared" si="6"/>
        <v>F</v>
      </c>
      <c r="BG11" s="214" t="str">
        <f t="shared" si="6"/>
        <v>F</v>
      </c>
      <c r="BH11" s="214" t="str">
        <f t="shared" si="6"/>
        <v>F</v>
      </c>
      <c r="BI11" s="214" t="str">
        <f t="shared" si="6"/>
        <v>F</v>
      </c>
      <c r="BJ11" s="214" t="str">
        <f t="shared" si="6"/>
        <v>F</v>
      </c>
      <c r="BK11" s="214" t="str">
        <f t="shared" si="6"/>
        <v>F</v>
      </c>
      <c r="BL11" s="214" t="str">
        <f t="shared" si="6"/>
        <v>F</v>
      </c>
      <c r="BM11" s="214" t="str">
        <f t="shared" si="6"/>
        <v>T</v>
      </c>
      <c r="BN11" s="214" t="str">
        <f t="shared" si="6"/>
        <v>T</v>
      </c>
      <c r="BO11" s="215" t="str">
        <f t="shared" si="6"/>
        <v>T</v>
      </c>
      <c r="BP11" s="214" t="str">
        <f t="shared" si="6"/>
        <v>T</v>
      </c>
      <c r="BQ11" s="214" t="str">
        <f t="shared" si="6"/>
        <v>T</v>
      </c>
      <c r="BR11" s="214" t="str">
        <f t="shared" ref="BR11" si="9">IF(AND(BR$3&gt;=$E11,BR$3&lt;=$F11),"T","F")</f>
        <v>T</v>
      </c>
      <c r="BS11" s="214" t="str">
        <f t="shared" si="8"/>
        <v>T</v>
      </c>
      <c r="BT11" s="214" t="str">
        <f t="shared" si="8"/>
        <v>T</v>
      </c>
      <c r="BU11" s="214" t="str">
        <f t="shared" si="8"/>
        <v>T</v>
      </c>
      <c r="BV11" s="214" t="str">
        <f t="shared" si="8"/>
        <v>T</v>
      </c>
      <c r="BW11" s="214" t="str">
        <f t="shared" si="8"/>
        <v>T</v>
      </c>
      <c r="BX11" s="214" t="str">
        <f t="shared" si="8"/>
        <v>T</v>
      </c>
      <c r="BY11" s="215" t="str">
        <f t="shared" si="8"/>
        <v>T</v>
      </c>
      <c r="BZ11" s="214" t="str">
        <f t="shared" si="8"/>
        <v>T</v>
      </c>
      <c r="CA11" s="214" t="str">
        <f t="shared" si="8"/>
        <v>T</v>
      </c>
      <c r="CB11" s="214" t="str">
        <f t="shared" si="8"/>
        <v>T</v>
      </c>
      <c r="CC11" s="214" t="str">
        <f t="shared" si="8"/>
        <v>T</v>
      </c>
      <c r="CD11" s="214" t="str">
        <f t="shared" si="8"/>
        <v>T</v>
      </c>
      <c r="CE11" s="214" t="str">
        <f t="shared" si="8"/>
        <v>T</v>
      </c>
      <c r="CF11" s="214" t="str">
        <f t="shared" si="8"/>
        <v>T</v>
      </c>
      <c r="CG11" s="214" t="str">
        <f t="shared" si="8"/>
        <v>T</v>
      </c>
      <c r="CH11" s="214" t="str">
        <f t="shared" si="8"/>
        <v>T</v>
      </c>
      <c r="CI11" s="225" t="str">
        <f t="shared" si="8"/>
        <v>T</v>
      </c>
      <c r="CJ11" s="224" t="str">
        <f t="shared" si="8"/>
        <v>T</v>
      </c>
      <c r="CK11" s="224" t="str">
        <f t="shared" si="8"/>
        <v>T</v>
      </c>
      <c r="CL11" s="224" t="str">
        <f t="shared" si="8"/>
        <v>T</v>
      </c>
      <c r="CM11" s="224" t="str">
        <f t="shared" si="8"/>
        <v>T</v>
      </c>
      <c r="CN11" s="224" t="str">
        <f t="shared" si="8"/>
        <v>T</v>
      </c>
      <c r="CO11" s="224" t="str">
        <f t="shared" si="8"/>
        <v>T</v>
      </c>
      <c r="CP11" s="224" t="str">
        <f t="shared" si="8"/>
        <v>T</v>
      </c>
      <c r="CQ11" s="224" t="str">
        <f t="shared" si="8"/>
        <v>T</v>
      </c>
      <c r="CR11" s="224" t="str">
        <f t="shared" si="8"/>
        <v>T</v>
      </c>
      <c r="CS11" s="225" t="str">
        <f t="shared" si="8"/>
        <v>T</v>
      </c>
      <c r="CT11" s="224" t="str">
        <f t="shared" si="8"/>
        <v>T</v>
      </c>
      <c r="CU11" s="224" t="str">
        <f t="shared" si="8"/>
        <v>T</v>
      </c>
      <c r="CV11" s="224" t="str">
        <f t="shared" si="8"/>
        <v>T</v>
      </c>
      <c r="CW11" s="224" t="str">
        <f t="shared" si="8"/>
        <v>T</v>
      </c>
      <c r="CX11" s="224" t="str">
        <f t="shared" si="8"/>
        <v>T</v>
      </c>
      <c r="CY11" s="214" t="str">
        <f t="shared" si="8"/>
        <v>T</v>
      </c>
      <c r="CZ11" s="214" t="str">
        <f t="shared" si="8"/>
        <v>T</v>
      </c>
      <c r="DA11" s="214" t="str">
        <f t="shared" si="8"/>
        <v>T</v>
      </c>
      <c r="DB11" s="214" t="str">
        <f t="shared" si="8"/>
        <v>F</v>
      </c>
      <c r="DC11" s="216" t="str">
        <f t="shared" si="8"/>
        <v>F</v>
      </c>
    </row>
    <row r="12" spans="2:107" x14ac:dyDescent="0.2">
      <c r="B12" s="211"/>
      <c r="C12" s="612"/>
      <c r="D12" s="212"/>
      <c r="E12" s="253"/>
      <c r="F12" s="213"/>
      <c r="G12" s="226"/>
      <c r="H12" s="227"/>
      <c r="I12" s="227"/>
      <c r="J12" s="227"/>
      <c r="K12" s="227"/>
      <c r="L12" s="227"/>
      <c r="M12" s="227"/>
      <c r="N12" s="227"/>
      <c r="O12" s="227"/>
      <c r="P12" s="227"/>
      <c r="Q12" s="228"/>
      <c r="R12" s="227"/>
      <c r="S12" s="227"/>
      <c r="T12" s="227"/>
      <c r="U12" s="227"/>
      <c r="V12" s="227"/>
      <c r="W12" s="227"/>
      <c r="X12" s="227"/>
      <c r="Y12" s="227"/>
      <c r="Z12" s="227"/>
      <c r="AA12" s="228"/>
      <c r="AB12" s="227"/>
      <c r="AC12" s="227"/>
      <c r="AD12" s="227"/>
      <c r="AE12" s="227"/>
      <c r="AF12" s="227"/>
      <c r="AG12" s="227"/>
      <c r="AH12" s="227"/>
      <c r="AI12" s="227"/>
      <c r="AJ12" s="227"/>
      <c r="AK12" s="228"/>
      <c r="AL12" s="227"/>
      <c r="AM12" s="227"/>
      <c r="AN12" s="227"/>
      <c r="AO12" s="227"/>
      <c r="AP12" s="227"/>
      <c r="AQ12" s="227"/>
      <c r="AR12" s="227"/>
      <c r="AS12" s="227"/>
      <c r="AT12" s="227"/>
      <c r="AU12" s="228"/>
      <c r="AV12" s="227"/>
      <c r="AW12" s="227"/>
      <c r="AX12" s="227"/>
      <c r="AY12" s="227"/>
      <c r="AZ12" s="227"/>
      <c r="BA12" s="227"/>
      <c r="BB12" s="227"/>
      <c r="BC12" s="227"/>
      <c r="BD12" s="227"/>
      <c r="BE12" s="228"/>
      <c r="BF12" s="227"/>
      <c r="BG12" s="227"/>
      <c r="BH12" s="227"/>
      <c r="BI12" s="227"/>
      <c r="BJ12" s="227"/>
      <c r="BK12" s="227"/>
      <c r="BL12" s="227"/>
      <c r="BM12" s="227"/>
      <c r="BN12" s="227"/>
      <c r="BO12" s="228"/>
      <c r="BP12" s="227"/>
      <c r="BQ12" s="227"/>
      <c r="BR12" s="227"/>
      <c r="BS12" s="227"/>
      <c r="BT12" s="227"/>
      <c r="BU12" s="227"/>
      <c r="BV12" s="227"/>
      <c r="BW12" s="227"/>
      <c r="BX12" s="227"/>
      <c r="BY12" s="228"/>
      <c r="BZ12" s="227"/>
      <c r="CA12" s="227"/>
      <c r="CB12" s="227"/>
      <c r="CC12" s="227"/>
      <c r="CD12" s="227"/>
      <c r="CE12" s="227"/>
      <c r="CF12" s="227"/>
      <c r="CG12" s="227"/>
      <c r="CH12" s="227"/>
      <c r="CI12" s="228"/>
      <c r="CJ12" s="227"/>
      <c r="CK12" s="227"/>
      <c r="CL12" s="227"/>
      <c r="CM12" s="227"/>
      <c r="CN12" s="227"/>
      <c r="CO12" s="227"/>
      <c r="CP12" s="227"/>
      <c r="CQ12" s="227"/>
      <c r="CR12" s="227"/>
      <c r="CS12" s="228"/>
      <c r="CT12" s="227"/>
      <c r="CU12" s="227"/>
      <c r="CV12" s="227"/>
      <c r="CW12" s="227"/>
      <c r="CX12" s="227"/>
      <c r="CY12" s="227"/>
      <c r="CZ12" s="227"/>
      <c r="DA12" s="227"/>
      <c r="DB12" s="227"/>
      <c r="DC12" s="229"/>
    </row>
    <row r="13" spans="2:107" x14ac:dyDescent="0.2">
      <c r="B13" s="211"/>
      <c r="C13" s="612"/>
      <c r="D13" s="212" t="str">
        <f>'Technology Matrix'!B11</f>
        <v>Phytoirrigation</v>
      </c>
      <c r="E13" s="253">
        <f>'Technology Matrix'!S11</f>
        <v>50</v>
      </c>
      <c r="F13" s="213">
        <f>'Technology Matrix'!T11</f>
        <v>75</v>
      </c>
      <c r="G13" s="215" t="str">
        <f t="shared" ref="G13:BR13" si="10">IF(AND(G$3&gt;=$E13,G$3&lt;=$F13),"T","F")</f>
        <v>F</v>
      </c>
      <c r="H13" s="214" t="str">
        <f t="shared" si="10"/>
        <v>F</v>
      </c>
      <c r="I13" s="214" t="str">
        <f t="shared" si="10"/>
        <v>F</v>
      </c>
      <c r="J13" s="214" t="str">
        <f t="shared" si="10"/>
        <v>F</v>
      </c>
      <c r="K13" s="214" t="str">
        <f t="shared" si="10"/>
        <v>F</v>
      </c>
      <c r="L13" s="214" t="str">
        <f t="shared" si="10"/>
        <v>F</v>
      </c>
      <c r="M13" s="214" t="str">
        <f t="shared" si="10"/>
        <v>F</v>
      </c>
      <c r="N13" s="214" t="str">
        <f t="shared" si="10"/>
        <v>F</v>
      </c>
      <c r="O13" s="214" t="str">
        <f t="shared" si="10"/>
        <v>F</v>
      </c>
      <c r="P13" s="214" t="str">
        <f t="shared" si="10"/>
        <v>F</v>
      </c>
      <c r="Q13" s="215" t="str">
        <f t="shared" si="10"/>
        <v>F</v>
      </c>
      <c r="R13" s="214" t="str">
        <f t="shared" si="10"/>
        <v>F</v>
      </c>
      <c r="S13" s="214" t="str">
        <f t="shared" si="10"/>
        <v>F</v>
      </c>
      <c r="T13" s="214" t="str">
        <f t="shared" si="10"/>
        <v>F</v>
      </c>
      <c r="U13" s="214" t="str">
        <f t="shared" si="10"/>
        <v>F</v>
      </c>
      <c r="V13" s="214" t="str">
        <f t="shared" si="10"/>
        <v>F</v>
      </c>
      <c r="W13" s="214" t="str">
        <f t="shared" si="10"/>
        <v>F</v>
      </c>
      <c r="X13" s="214" t="str">
        <f t="shared" si="10"/>
        <v>F</v>
      </c>
      <c r="Y13" s="214" t="str">
        <f t="shared" si="10"/>
        <v>F</v>
      </c>
      <c r="Z13" s="214" t="str">
        <f t="shared" si="10"/>
        <v>F</v>
      </c>
      <c r="AA13" s="215" t="str">
        <f t="shared" si="10"/>
        <v>F</v>
      </c>
      <c r="AB13" s="214" t="str">
        <f t="shared" si="10"/>
        <v>F</v>
      </c>
      <c r="AC13" s="214" t="str">
        <f t="shared" si="10"/>
        <v>F</v>
      </c>
      <c r="AD13" s="214" t="str">
        <f t="shared" si="10"/>
        <v>F</v>
      </c>
      <c r="AE13" s="214" t="str">
        <f t="shared" si="10"/>
        <v>F</v>
      </c>
      <c r="AF13" s="214" t="str">
        <f t="shared" si="10"/>
        <v>F</v>
      </c>
      <c r="AG13" s="214" t="str">
        <f t="shared" si="10"/>
        <v>F</v>
      </c>
      <c r="AH13" s="214" t="str">
        <f t="shared" si="10"/>
        <v>F</v>
      </c>
      <c r="AI13" s="214" t="str">
        <f t="shared" si="10"/>
        <v>F</v>
      </c>
      <c r="AJ13" s="214" t="str">
        <f t="shared" si="10"/>
        <v>F</v>
      </c>
      <c r="AK13" s="215" t="str">
        <f t="shared" si="10"/>
        <v>F</v>
      </c>
      <c r="AL13" s="214" t="str">
        <f t="shared" si="10"/>
        <v>F</v>
      </c>
      <c r="AM13" s="214" t="str">
        <f t="shared" si="10"/>
        <v>F</v>
      </c>
      <c r="AN13" s="214" t="str">
        <f t="shared" si="10"/>
        <v>F</v>
      </c>
      <c r="AO13" s="214" t="str">
        <f t="shared" si="10"/>
        <v>F</v>
      </c>
      <c r="AP13" s="214" t="str">
        <f t="shared" si="10"/>
        <v>F</v>
      </c>
      <c r="AQ13" s="214" t="str">
        <f t="shared" si="10"/>
        <v>F</v>
      </c>
      <c r="AR13" s="214" t="str">
        <f t="shared" si="10"/>
        <v>F</v>
      </c>
      <c r="AS13" s="214" t="str">
        <f t="shared" si="10"/>
        <v>F</v>
      </c>
      <c r="AT13" s="214" t="str">
        <f t="shared" si="10"/>
        <v>F</v>
      </c>
      <c r="AU13" s="215" t="str">
        <f t="shared" si="10"/>
        <v>F</v>
      </c>
      <c r="AV13" s="214" t="str">
        <f t="shared" si="10"/>
        <v>F</v>
      </c>
      <c r="AW13" s="214" t="str">
        <f t="shared" si="10"/>
        <v>F</v>
      </c>
      <c r="AX13" s="214" t="str">
        <f t="shared" si="10"/>
        <v>F</v>
      </c>
      <c r="AY13" s="214" t="str">
        <f t="shared" si="10"/>
        <v>F</v>
      </c>
      <c r="AZ13" s="214" t="str">
        <f t="shared" si="10"/>
        <v>F</v>
      </c>
      <c r="BA13" s="214" t="str">
        <f t="shared" si="10"/>
        <v>F</v>
      </c>
      <c r="BB13" s="214" t="str">
        <f t="shared" si="10"/>
        <v>F</v>
      </c>
      <c r="BC13" s="214" t="str">
        <f t="shared" si="10"/>
        <v>F</v>
      </c>
      <c r="BD13" s="214" t="str">
        <f t="shared" si="10"/>
        <v>F</v>
      </c>
      <c r="BE13" s="215" t="str">
        <f t="shared" si="10"/>
        <v>T</v>
      </c>
      <c r="BF13" s="214" t="str">
        <f t="shared" si="10"/>
        <v>T</v>
      </c>
      <c r="BG13" s="214" t="str">
        <f t="shared" si="10"/>
        <v>T</v>
      </c>
      <c r="BH13" s="214" t="str">
        <f t="shared" si="10"/>
        <v>T</v>
      </c>
      <c r="BI13" s="214" t="str">
        <f t="shared" si="10"/>
        <v>T</v>
      </c>
      <c r="BJ13" s="214" t="str">
        <f t="shared" si="10"/>
        <v>T</v>
      </c>
      <c r="BK13" s="214" t="str">
        <f t="shared" si="10"/>
        <v>T</v>
      </c>
      <c r="BL13" s="214" t="str">
        <f t="shared" si="10"/>
        <v>T</v>
      </c>
      <c r="BM13" s="214" t="str">
        <f t="shared" si="10"/>
        <v>T</v>
      </c>
      <c r="BN13" s="214" t="str">
        <f t="shared" si="10"/>
        <v>T</v>
      </c>
      <c r="BO13" s="215" t="str">
        <f t="shared" si="10"/>
        <v>T</v>
      </c>
      <c r="BP13" s="214" t="str">
        <f t="shared" si="10"/>
        <v>T</v>
      </c>
      <c r="BQ13" s="214" t="str">
        <f t="shared" si="10"/>
        <v>T</v>
      </c>
      <c r="BR13" s="214" t="str">
        <f t="shared" si="10"/>
        <v>T</v>
      </c>
      <c r="BS13" s="214" t="str">
        <f t="shared" si="8"/>
        <v>T</v>
      </c>
      <c r="BT13" s="214" t="str">
        <f t="shared" si="8"/>
        <v>T</v>
      </c>
      <c r="BU13" s="214" t="str">
        <f t="shared" si="8"/>
        <v>T</v>
      </c>
      <c r="BV13" s="214" t="str">
        <f t="shared" si="8"/>
        <v>T</v>
      </c>
      <c r="BW13" s="214" t="str">
        <f t="shared" si="8"/>
        <v>T</v>
      </c>
      <c r="BX13" s="214" t="str">
        <f t="shared" si="8"/>
        <v>T</v>
      </c>
      <c r="BY13" s="215" t="str">
        <f t="shared" si="8"/>
        <v>T</v>
      </c>
      <c r="BZ13" s="214" t="str">
        <f t="shared" si="8"/>
        <v>T</v>
      </c>
      <c r="CA13" s="214" t="str">
        <f t="shared" si="8"/>
        <v>T</v>
      </c>
      <c r="CB13" s="214" t="str">
        <f t="shared" si="8"/>
        <v>T</v>
      </c>
      <c r="CC13" s="214" t="str">
        <f t="shared" si="8"/>
        <v>T</v>
      </c>
      <c r="CD13" s="214" t="str">
        <f t="shared" si="8"/>
        <v>T</v>
      </c>
      <c r="CE13" s="214" t="str">
        <f t="shared" si="8"/>
        <v>F</v>
      </c>
      <c r="CF13" s="214" t="str">
        <f t="shared" si="8"/>
        <v>F</v>
      </c>
      <c r="CG13" s="214" t="str">
        <f t="shared" si="8"/>
        <v>F</v>
      </c>
      <c r="CH13" s="214" t="str">
        <f t="shared" si="8"/>
        <v>F</v>
      </c>
      <c r="CI13" s="225" t="str">
        <f t="shared" si="8"/>
        <v>F</v>
      </c>
      <c r="CJ13" s="224" t="str">
        <f t="shared" si="8"/>
        <v>F</v>
      </c>
      <c r="CK13" s="224" t="str">
        <f t="shared" si="8"/>
        <v>F</v>
      </c>
      <c r="CL13" s="224" t="str">
        <f t="shared" si="8"/>
        <v>F</v>
      </c>
      <c r="CM13" s="224" t="str">
        <f t="shared" si="8"/>
        <v>F</v>
      </c>
      <c r="CN13" s="224" t="str">
        <f t="shared" si="8"/>
        <v>F</v>
      </c>
      <c r="CO13" s="224" t="str">
        <f t="shared" si="8"/>
        <v>F</v>
      </c>
      <c r="CP13" s="224" t="str">
        <f t="shared" si="8"/>
        <v>F</v>
      </c>
      <c r="CQ13" s="224" t="str">
        <f t="shared" si="8"/>
        <v>F</v>
      </c>
      <c r="CR13" s="224" t="str">
        <f t="shared" si="8"/>
        <v>F</v>
      </c>
      <c r="CS13" s="225" t="str">
        <f t="shared" si="8"/>
        <v>F</v>
      </c>
      <c r="CT13" s="224" t="str">
        <f t="shared" si="8"/>
        <v>F</v>
      </c>
      <c r="CU13" s="224" t="str">
        <f t="shared" si="8"/>
        <v>F</v>
      </c>
      <c r="CV13" s="224" t="str">
        <f t="shared" si="8"/>
        <v>F</v>
      </c>
      <c r="CW13" s="224" t="str">
        <f t="shared" si="8"/>
        <v>F</v>
      </c>
      <c r="CX13" s="224" t="str">
        <f t="shared" si="8"/>
        <v>F</v>
      </c>
      <c r="CY13" s="214" t="str">
        <f t="shared" si="8"/>
        <v>F</v>
      </c>
      <c r="CZ13" s="214" t="str">
        <f t="shared" si="8"/>
        <v>F</v>
      </c>
      <c r="DA13" s="214" t="str">
        <f t="shared" si="8"/>
        <v>F</v>
      </c>
      <c r="DB13" s="214" t="str">
        <f t="shared" si="8"/>
        <v>F</v>
      </c>
      <c r="DC13" s="216" t="str">
        <f t="shared" si="8"/>
        <v>F</v>
      </c>
    </row>
    <row r="14" spans="2:107" x14ac:dyDescent="0.2">
      <c r="B14" s="211"/>
      <c r="C14" s="612"/>
      <c r="D14" s="212"/>
      <c r="E14" s="253"/>
      <c r="F14" s="213"/>
      <c r="G14" s="226"/>
      <c r="H14" s="227"/>
      <c r="I14" s="227"/>
      <c r="J14" s="227"/>
      <c r="K14" s="227"/>
      <c r="L14" s="227"/>
      <c r="M14" s="227"/>
      <c r="N14" s="227"/>
      <c r="O14" s="227"/>
      <c r="P14" s="227"/>
      <c r="Q14" s="228"/>
      <c r="R14" s="227"/>
      <c r="S14" s="227"/>
      <c r="T14" s="227"/>
      <c r="U14" s="227"/>
      <c r="V14" s="227"/>
      <c r="W14" s="227"/>
      <c r="X14" s="227"/>
      <c r="Y14" s="227"/>
      <c r="Z14" s="227"/>
      <c r="AA14" s="228"/>
      <c r="AB14" s="227"/>
      <c r="AC14" s="227"/>
      <c r="AD14" s="227"/>
      <c r="AE14" s="227"/>
      <c r="AF14" s="227"/>
      <c r="AG14" s="227"/>
      <c r="AH14" s="227"/>
      <c r="AI14" s="227"/>
      <c r="AJ14" s="227"/>
      <c r="AK14" s="228"/>
      <c r="AL14" s="227"/>
      <c r="AM14" s="227"/>
      <c r="AN14" s="227"/>
      <c r="AO14" s="227"/>
      <c r="AP14" s="227"/>
      <c r="AQ14" s="227"/>
      <c r="AR14" s="227"/>
      <c r="AS14" s="227"/>
      <c r="AT14" s="227"/>
      <c r="AU14" s="228"/>
      <c r="AV14" s="227"/>
      <c r="AW14" s="227"/>
      <c r="AX14" s="227"/>
      <c r="AY14" s="227"/>
      <c r="AZ14" s="227"/>
      <c r="BA14" s="227"/>
      <c r="BB14" s="227"/>
      <c r="BC14" s="227"/>
      <c r="BD14" s="227"/>
      <c r="BE14" s="228"/>
      <c r="BF14" s="227"/>
      <c r="BG14" s="227"/>
      <c r="BH14" s="227"/>
      <c r="BI14" s="227"/>
      <c r="BJ14" s="227"/>
      <c r="BK14" s="227"/>
      <c r="BL14" s="227"/>
      <c r="BM14" s="227"/>
      <c r="BN14" s="227"/>
      <c r="BO14" s="228"/>
      <c r="BP14" s="227"/>
      <c r="BQ14" s="227"/>
      <c r="BR14" s="227"/>
      <c r="BS14" s="227"/>
      <c r="BT14" s="227"/>
      <c r="BU14" s="227"/>
      <c r="BV14" s="227"/>
      <c r="BW14" s="227"/>
      <c r="BX14" s="227"/>
      <c r="BY14" s="228"/>
      <c r="BZ14" s="227"/>
      <c r="CA14" s="227"/>
      <c r="CB14" s="227"/>
      <c r="CC14" s="227"/>
      <c r="CD14" s="227"/>
      <c r="CE14" s="227"/>
      <c r="CF14" s="227"/>
      <c r="CG14" s="227"/>
      <c r="CH14" s="227"/>
      <c r="CI14" s="228"/>
      <c r="CJ14" s="227"/>
      <c r="CK14" s="227"/>
      <c r="CL14" s="227"/>
      <c r="CM14" s="227"/>
      <c r="CN14" s="227"/>
      <c r="CO14" s="227"/>
      <c r="CP14" s="227"/>
      <c r="CQ14" s="227"/>
      <c r="CR14" s="227"/>
      <c r="CS14" s="228"/>
      <c r="CT14" s="227"/>
      <c r="CU14" s="227"/>
      <c r="CV14" s="227"/>
      <c r="CW14" s="227"/>
      <c r="CX14" s="227"/>
      <c r="CY14" s="227"/>
      <c r="CZ14" s="227"/>
      <c r="DA14" s="227"/>
      <c r="DB14" s="227"/>
      <c r="DC14" s="229"/>
    </row>
    <row r="15" spans="2:107" x14ac:dyDescent="0.2">
      <c r="B15" s="211"/>
      <c r="C15" s="612"/>
      <c r="D15" s="212" t="str">
        <f>'Technology Matrix'!B12</f>
        <v>Stormwater BMP Phytobuffers</v>
      </c>
      <c r="E15" s="253">
        <f>'Technology Matrix'!S12</f>
        <v>25</v>
      </c>
      <c r="F15" s="213">
        <f>'Technology Matrix'!T12</f>
        <v>40</v>
      </c>
      <c r="G15" s="215" t="str">
        <f t="shared" ref="G15:BR15" si="11">IF(AND(G$3&gt;=$E15,G$3&lt;=$F15),"T","F")</f>
        <v>F</v>
      </c>
      <c r="H15" s="214" t="str">
        <f t="shared" si="11"/>
        <v>F</v>
      </c>
      <c r="I15" s="214" t="str">
        <f t="shared" si="11"/>
        <v>F</v>
      </c>
      <c r="J15" s="214" t="str">
        <f t="shared" si="11"/>
        <v>F</v>
      </c>
      <c r="K15" s="214" t="str">
        <f t="shared" si="11"/>
        <v>F</v>
      </c>
      <c r="L15" s="214" t="str">
        <f t="shared" si="11"/>
        <v>F</v>
      </c>
      <c r="M15" s="214" t="str">
        <f t="shared" si="11"/>
        <v>F</v>
      </c>
      <c r="N15" s="214" t="str">
        <f t="shared" si="11"/>
        <v>F</v>
      </c>
      <c r="O15" s="214" t="str">
        <f t="shared" si="11"/>
        <v>F</v>
      </c>
      <c r="P15" s="214" t="str">
        <f t="shared" si="11"/>
        <v>F</v>
      </c>
      <c r="Q15" s="215" t="str">
        <f t="shared" si="11"/>
        <v>F</v>
      </c>
      <c r="R15" s="214" t="str">
        <f t="shared" si="11"/>
        <v>F</v>
      </c>
      <c r="S15" s="214" t="str">
        <f t="shared" si="11"/>
        <v>F</v>
      </c>
      <c r="T15" s="214" t="str">
        <f t="shared" si="11"/>
        <v>F</v>
      </c>
      <c r="U15" s="214" t="str">
        <f t="shared" si="11"/>
        <v>F</v>
      </c>
      <c r="V15" s="214" t="str">
        <f t="shared" si="11"/>
        <v>F</v>
      </c>
      <c r="W15" s="214" t="str">
        <f t="shared" si="11"/>
        <v>F</v>
      </c>
      <c r="X15" s="214" t="str">
        <f t="shared" si="11"/>
        <v>F</v>
      </c>
      <c r="Y15" s="214" t="str">
        <f t="shared" si="11"/>
        <v>F</v>
      </c>
      <c r="Z15" s="214" t="str">
        <f t="shared" si="11"/>
        <v>F</v>
      </c>
      <c r="AA15" s="215" t="str">
        <f t="shared" si="11"/>
        <v>F</v>
      </c>
      <c r="AB15" s="214" t="str">
        <f t="shared" si="11"/>
        <v>F</v>
      </c>
      <c r="AC15" s="214" t="str">
        <f t="shared" si="11"/>
        <v>F</v>
      </c>
      <c r="AD15" s="214" t="str">
        <f t="shared" si="11"/>
        <v>F</v>
      </c>
      <c r="AE15" s="214" t="str">
        <f t="shared" si="11"/>
        <v>F</v>
      </c>
      <c r="AF15" s="214" t="str">
        <f t="shared" si="11"/>
        <v>T</v>
      </c>
      <c r="AG15" s="214" t="str">
        <f t="shared" si="11"/>
        <v>T</v>
      </c>
      <c r="AH15" s="214" t="str">
        <f t="shared" si="11"/>
        <v>T</v>
      </c>
      <c r="AI15" s="214" t="str">
        <f t="shared" si="11"/>
        <v>T</v>
      </c>
      <c r="AJ15" s="214" t="str">
        <f t="shared" si="11"/>
        <v>T</v>
      </c>
      <c r="AK15" s="215" t="str">
        <f t="shared" si="11"/>
        <v>T</v>
      </c>
      <c r="AL15" s="214" t="str">
        <f t="shared" si="11"/>
        <v>T</v>
      </c>
      <c r="AM15" s="214" t="str">
        <f t="shared" si="11"/>
        <v>T</v>
      </c>
      <c r="AN15" s="214" t="str">
        <f t="shared" si="11"/>
        <v>T</v>
      </c>
      <c r="AO15" s="214" t="str">
        <f t="shared" si="11"/>
        <v>T</v>
      </c>
      <c r="AP15" s="214" t="str">
        <f t="shared" si="11"/>
        <v>T</v>
      </c>
      <c r="AQ15" s="214" t="str">
        <f t="shared" si="11"/>
        <v>T</v>
      </c>
      <c r="AR15" s="214" t="str">
        <f t="shared" si="11"/>
        <v>T</v>
      </c>
      <c r="AS15" s="214" t="str">
        <f t="shared" si="11"/>
        <v>T</v>
      </c>
      <c r="AT15" s="214" t="str">
        <f t="shared" si="11"/>
        <v>T</v>
      </c>
      <c r="AU15" s="215" t="str">
        <f t="shared" si="11"/>
        <v>T</v>
      </c>
      <c r="AV15" s="214" t="str">
        <f t="shared" si="11"/>
        <v>F</v>
      </c>
      <c r="AW15" s="214" t="str">
        <f t="shared" si="11"/>
        <v>F</v>
      </c>
      <c r="AX15" s="214" t="str">
        <f t="shared" si="11"/>
        <v>F</v>
      </c>
      <c r="AY15" s="214" t="str">
        <f t="shared" si="11"/>
        <v>F</v>
      </c>
      <c r="AZ15" s="214" t="str">
        <f t="shared" si="11"/>
        <v>F</v>
      </c>
      <c r="BA15" s="214" t="str">
        <f t="shared" si="11"/>
        <v>F</v>
      </c>
      <c r="BB15" s="214" t="str">
        <f t="shared" si="11"/>
        <v>F</v>
      </c>
      <c r="BC15" s="214" t="str">
        <f t="shared" si="11"/>
        <v>F</v>
      </c>
      <c r="BD15" s="214" t="str">
        <f t="shared" si="11"/>
        <v>F</v>
      </c>
      <c r="BE15" s="215" t="str">
        <f t="shared" si="11"/>
        <v>F</v>
      </c>
      <c r="BF15" s="214" t="str">
        <f t="shared" si="11"/>
        <v>F</v>
      </c>
      <c r="BG15" s="214" t="str">
        <f t="shared" si="11"/>
        <v>F</v>
      </c>
      <c r="BH15" s="214" t="str">
        <f t="shared" si="11"/>
        <v>F</v>
      </c>
      <c r="BI15" s="214" t="str">
        <f t="shared" si="11"/>
        <v>F</v>
      </c>
      <c r="BJ15" s="214" t="str">
        <f t="shared" si="11"/>
        <v>F</v>
      </c>
      <c r="BK15" s="214" t="str">
        <f t="shared" si="11"/>
        <v>F</v>
      </c>
      <c r="BL15" s="214" t="str">
        <f t="shared" si="11"/>
        <v>F</v>
      </c>
      <c r="BM15" s="214" t="str">
        <f t="shared" si="11"/>
        <v>F</v>
      </c>
      <c r="BN15" s="214" t="str">
        <f t="shared" si="11"/>
        <v>F</v>
      </c>
      <c r="BO15" s="215" t="str">
        <f t="shared" si="11"/>
        <v>F</v>
      </c>
      <c r="BP15" s="214" t="str">
        <f t="shared" si="11"/>
        <v>F</v>
      </c>
      <c r="BQ15" s="214" t="str">
        <f t="shared" si="11"/>
        <v>F</v>
      </c>
      <c r="BR15" s="214" t="str">
        <f t="shared" si="11"/>
        <v>F</v>
      </c>
      <c r="BS15" s="214" t="str">
        <f t="shared" si="8"/>
        <v>F</v>
      </c>
      <c r="BT15" s="214" t="str">
        <f t="shared" si="8"/>
        <v>F</v>
      </c>
      <c r="BU15" s="214" t="str">
        <f t="shared" si="8"/>
        <v>F</v>
      </c>
      <c r="BV15" s="214" t="str">
        <f t="shared" si="8"/>
        <v>F</v>
      </c>
      <c r="BW15" s="214" t="str">
        <f t="shared" si="8"/>
        <v>F</v>
      </c>
      <c r="BX15" s="214" t="str">
        <f t="shared" si="8"/>
        <v>F</v>
      </c>
      <c r="BY15" s="215" t="str">
        <f t="shared" si="8"/>
        <v>F</v>
      </c>
      <c r="BZ15" s="214" t="str">
        <f t="shared" si="8"/>
        <v>F</v>
      </c>
      <c r="CA15" s="214" t="str">
        <f t="shared" si="8"/>
        <v>F</v>
      </c>
      <c r="CB15" s="214" t="str">
        <f t="shared" si="8"/>
        <v>F</v>
      </c>
      <c r="CC15" s="214" t="str">
        <f t="shared" si="8"/>
        <v>F</v>
      </c>
      <c r="CD15" s="214" t="str">
        <f t="shared" si="8"/>
        <v>F</v>
      </c>
      <c r="CE15" s="214" t="str">
        <f t="shared" si="8"/>
        <v>F</v>
      </c>
      <c r="CF15" s="214" t="str">
        <f t="shared" si="8"/>
        <v>F</v>
      </c>
      <c r="CG15" s="214" t="str">
        <f t="shared" si="8"/>
        <v>F</v>
      </c>
      <c r="CH15" s="214" t="str">
        <f t="shared" si="8"/>
        <v>F</v>
      </c>
      <c r="CI15" s="225" t="str">
        <f t="shared" si="8"/>
        <v>F</v>
      </c>
      <c r="CJ15" s="224" t="str">
        <f t="shared" si="8"/>
        <v>F</v>
      </c>
      <c r="CK15" s="224" t="str">
        <f t="shared" si="8"/>
        <v>F</v>
      </c>
      <c r="CL15" s="224" t="str">
        <f t="shared" si="8"/>
        <v>F</v>
      </c>
      <c r="CM15" s="224" t="str">
        <f t="shared" si="8"/>
        <v>F</v>
      </c>
      <c r="CN15" s="224" t="str">
        <f t="shared" si="8"/>
        <v>F</v>
      </c>
      <c r="CO15" s="224" t="str">
        <f t="shared" si="8"/>
        <v>F</v>
      </c>
      <c r="CP15" s="224" t="str">
        <f t="shared" si="8"/>
        <v>F</v>
      </c>
      <c r="CQ15" s="224" t="str">
        <f t="shared" si="8"/>
        <v>F</v>
      </c>
      <c r="CR15" s="224" t="str">
        <f t="shared" si="8"/>
        <v>F</v>
      </c>
      <c r="CS15" s="225" t="str">
        <f t="shared" si="8"/>
        <v>F</v>
      </c>
      <c r="CT15" s="224" t="str">
        <f t="shared" si="8"/>
        <v>F</v>
      </c>
      <c r="CU15" s="224" t="str">
        <f t="shared" si="8"/>
        <v>F</v>
      </c>
      <c r="CV15" s="224" t="str">
        <f t="shared" si="8"/>
        <v>F</v>
      </c>
      <c r="CW15" s="224" t="str">
        <f t="shared" si="8"/>
        <v>F</v>
      </c>
      <c r="CX15" s="224" t="str">
        <f t="shared" si="8"/>
        <v>F</v>
      </c>
      <c r="CY15" s="214" t="str">
        <f t="shared" si="8"/>
        <v>F</v>
      </c>
      <c r="CZ15" s="214" t="str">
        <f t="shared" si="8"/>
        <v>F</v>
      </c>
      <c r="DA15" s="214" t="str">
        <f t="shared" si="8"/>
        <v>F</v>
      </c>
      <c r="DB15" s="214" t="str">
        <f t="shared" si="8"/>
        <v>F</v>
      </c>
      <c r="DC15" s="216" t="str">
        <f t="shared" si="8"/>
        <v>F</v>
      </c>
    </row>
    <row r="16" spans="2:107" x14ac:dyDescent="0.2">
      <c r="B16" s="211"/>
      <c r="C16" s="612"/>
      <c r="D16" s="212"/>
      <c r="E16" s="253"/>
      <c r="F16" s="213"/>
      <c r="G16" s="226"/>
      <c r="H16" s="227"/>
      <c r="I16" s="227"/>
      <c r="J16" s="227"/>
      <c r="K16" s="227"/>
      <c r="L16" s="227"/>
      <c r="M16" s="227"/>
      <c r="N16" s="227"/>
      <c r="O16" s="227"/>
      <c r="P16" s="227"/>
      <c r="Q16" s="228"/>
      <c r="R16" s="227"/>
      <c r="S16" s="227"/>
      <c r="T16" s="227"/>
      <c r="U16" s="227"/>
      <c r="V16" s="227"/>
      <c r="W16" s="227"/>
      <c r="X16" s="227"/>
      <c r="Y16" s="227"/>
      <c r="Z16" s="227"/>
      <c r="AA16" s="228"/>
      <c r="AB16" s="227"/>
      <c r="AC16" s="227"/>
      <c r="AD16" s="227"/>
      <c r="AE16" s="227"/>
      <c r="AF16" s="227"/>
      <c r="AG16" s="227"/>
      <c r="AH16" s="227"/>
      <c r="AI16" s="227"/>
      <c r="AJ16" s="227"/>
      <c r="AK16" s="228"/>
      <c r="AL16" s="227"/>
      <c r="AM16" s="227"/>
      <c r="AN16" s="227"/>
      <c r="AO16" s="227"/>
      <c r="AP16" s="227"/>
      <c r="AQ16" s="227"/>
      <c r="AR16" s="227"/>
      <c r="AS16" s="227"/>
      <c r="AT16" s="227"/>
      <c r="AU16" s="228"/>
      <c r="AV16" s="227"/>
      <c r="AW16" s="227"/>
      <c r="AX16" s="227"/>
      <c r="AY16" s="227"/>
      <c r="AZ16" s="227"/>
      <c r="BA16" s="227"/>
      <c r="BB16" s="227"/>
      <c r="BC16" s="227"/>
      <c r="BD16" s="227"/>
      <c r="BE16" s="228"/>
      <c r="BF16" s="227"/>
      <c r="BG16" s="227"/>
      <c r="BH16" s="227"/>
      <c r="BI16" s="227"/>
      <c r="BJ16" s="227"/>
      <c r="BK16" s="227"/>
      <c r="BL16" s="227"/>
      <c r="BM16" s="227"/>
      <c r="BN16" s="227"/>
      <c r="BO16" s="228"/>
      <c r="BP16" s="227"/>
      <c r="BQ16" s="227"/>
      <c r="BR16" s="227"/>
      <c r="BS16" s="227"/>
      <c r="BT16" s="227"/>
      <c r="BU16" s="227"/>
      <c r="BV16" s="227"/>
      <c r="BW16" s="227"/>
      <c r="BX16" s="227"/>
      <c r="BY16" s="228"/>
      <c r="BZ16" s="227"/>
      <c r="CA16" s="227"/>
      <c r="CB16" s="227"/>
      <c r="CC16" s="227"/>
      <c r="CD16" s="227"/>
      <c r="CE16" s="227"/>
      <c r="CF16" s="227"/>
      <c r="CG16" s="227"/>
      <c r="CH16" s="227"/>
      <c r="CI16" s="228"/>
      <c r="CJ16" s="227"/>
      <c r="CK16" s="227"/>
      <c r="CL16" s="227"/>
      <c r="CM16" s="227"/>
      <c r="CN16" s="227"/>
      <c r="CO16" s="227"/>
      <c r="CP16" s="227"/>
      <c r="CQ16" s="227"/>
      <c r="CR16" s="227"/>
      <c r="CS16" s="228"/>
      <c r="CT16" s="227"/>
      <c r="CU16" s="227"/>
      <c r="CV16" s="227"/>
      <c r="CW16" s="227"/>
      <c r="CX16" s="227"/>
      <c r="CY16" s="227"/>
      <c r="CZ16" s="227"/>
      <c r="DA16" s="227"/>
      <c r="DB16" s="227"/>
      <c r="DC16" s="229"/>
    </row>
    <row r="17" spans="2:111" x14ac:dyDescent="0.2">
      <c r="B17" s="211"/>
      <c r="C17" s="612"/>
      <c r="D17" s="212" t="str">
        <f>'Technology Matrix'!B13</f>
        <v>Stormwater BMP - Vegetated Swale</v>
      </c>
      <c r="E17" s="253">
        <f>'Technology Matrix'!S13</f>
        <v>25</v>
      </c>
      <c r="F17" s="213">
        <f>'Technology Matrix'!T13</f>
        <v>40</v>
      </c>
      <c r="G17" s="215" t="str">
        <f t="shared" ref="G17:BR17" si="12">IF(AND(G$3&gt;=$E17,G$3&lt;=$F17),"T","F")</f>
        <v>F</v>
      </c>
      <c r="H17" s="214" t="str">
        <f t="shared" si="12"/>
        <v>F</v>
      </c>
      <c r="I17" s="214" t="str">
        <f t="shared" si="12"/>
        <v>F</v>
      </c>
      <c r="J17" s="214" t="str">
        <f t="shared" si="12"/>
        <v>F</v>
      </c>
      <c r="K17" s="214" t="str">
        <f t="shared" si="12"/>
        <v>F</v>
      </c>
      <c r="L17" s="214" t="str">
        <f t="shared" si="12"/>
        <v>F</v>
      </c>
      <c r="M17" s="214" t="str">
        <f t="shared" si="12"/>
        <v>F</v>
      </c>
      <c r="N17" s="214" t="str">
        <f t="shared" si="12"/>
        <v>F</v>
      </c>
      <c r="O17" s="214" t="str">
        <f t="shared" si="12"/>
        <v>F</v>
      </c>
      <c r="P17" s="214" t="str">
        <f t="shared" si="12"/>
        <v>F</v>
      </c>
      <c r="Q17" s="215" t="str">
        <f t="shared" si="12"/>
        <v>F</v>
      </c>
      <c r="R17" s="214" t="str">
        <f t="shared" si="12"/>
        <v>F</v>
      </c>
      <c r="S17" s="214" t="str">
        <f t="shared" si="12"/>
        <v>F</v>
      </c>
      <c r="T17" s="214" t="str">
        <f t="shared" si="12"/>
        <v>F</v>
      </c>
      <c r="U17" s="214" t="str">
        <f t="shared" si="12"/>
        <v>F</v>
      </c>
      <c r="V17" s="214" t="str">
        <f t="shared" si="12"/>
        <v>F</v>
      </c>
      <c r="W17" s="214" t="str">
        <f t="shared" si="12"/>
        <v>F</v>
      </c>
      <c r="X17" s="214" t="str">
        <f t="shared" si="12"/>
        <v>F</v>
      </c>
      <c r="Y17" s="214" t="str">
        <f t="shared" si="12"/>
        <v>F</v>
      </c>
      <c r="Z17" s="214" t="str">
        <f t="shared" si="12"/>
        <v>F</v>
      </c>
      <c r="AA17" s="215" t="str">
        <f t="shared" si="12"/>
        <v>F</v>
      </c>
      <c r="AB17" s="214" t="str">
        <f t="shared" si="12"/>
        <v>F</v>
      </c>
      <c r="AC17" s="214" t="str">
        <f t="shared" si="12"/>
        <v>F</v>
      </c>
      <c r="AD17" s="214" t="str">
        <f t="shared" si="12"/>
        <v>F</v>
      </c>
      <c r="AE17" s="214" t="str">
        <f t="shared" si="12"/>
        <v>F</v>
      </c>
      <c r="AF17" s="214" t="str">
        <f t="shared" si="12"/>
        <v>T</v>
      </c>
      <c r="AG17" s="214" t="str">
        <f t="shared" si="12"/>
        <v>T</v>
      </c>
      <c r="AH17" s="214" t="str">
        <f t="shared" si="12"/>
        <v>T</v>
      </c>
      <c r="AI17" s="214" t="str">
        <f t="shared" si="12"/>
        <v>T</v>
      </c>
      <c r="AJ17" s="214" t="str">
        <f t="shared" si="12"/>
        <v>T</v>
      </c>
      <c r="AK17" s="215" t="str">
        <f t="shared" si="12"/>
        <v>T</v>
      </c>
      <c r="AL17" s="214" t="str">
        <f t="shared" si="12"/>
        <v>T</v>
      </c>
      <c r="AM17" s="214" t="str">
        <f t="shared" si="12"/>
        <v>T</v>
      </c>
      <c r="AN17" s="214" t="str">
        <f t="shared" si="12"/>
        <v>T</v>
      </c>
      <c r="AO17" s="214" t="str">
        <f t="shared" si="12"/>
        <v>T</v>
      </c>
      <c r="AP17" s="214" t="str">
        <f t="shared" si="12"/>
        <v>T</v>
      </c>
      <c r="AQ17" s="214" t="str">
        <f t="shared" si="12"/>
        <v>T</v>
      </c>
      <c r="AR17" s="214" t="str">
        <f t="shared" si="12"/>
        <v>T</v>
      </c>
      <c r="AS17" s="214" t="str">
        <f t="shared" si="12"/>
        <v>T</v>
      </c>
      <c r="AT17" s="214" t="str">
        <f t="shared" si="12"/>
        <v>T</v>
      </c>
      <c r="AU17" s="215" t="str">
        <f t="shared" si="12"/>
        <v>T</v>
      </c>
      <c r="AV17" s="214" t="str">
        <f t="shared" si="12"/>
        <v>F</v>
      </c>
      <c r="AW17" s="214" t="str">
        <f t="shared" si="12"/>
        <v>F</v>
      </c>
      <c r="AX17" s="214" t="str">
        <f t="shared" si="12"/>
        <v>F</v>
      </c>
      <c r="AY17" s="214" t="str">
        <f t="shared" si="12"/>
        <v>F</v>
      </c>
      <c r="AZ17" s="214" t="str">
        <f t="shared" si="12"/>
        <v>F</v>
      </c>
      <c r="BA17" s="214" t="str">
        <f t="shared" si="12"/>
        <v>F</v>
      </c>
      <c r="BB17" s="214" t="str">
        <f t="shared" si="12"/>
        <v>F</v>
      </c>
      <c r="BC17" s="214" t="str">
        <f t="shared" si="12"/>
        <v>F</v>
      </c>
      <c r="BD17" s="214" t="str">
        <f t="shared" si="12"/>
        <v>F</v>
      </c>
      <c r="BE17" s="215" t="str">
        <f t="shared" si="12"/>
        <v>F</v>
      </c>
      <c r="BF17" s="214" t="str">
        <f t="shared" si="12"/>
        <v>F</v>
      </c>
      <c r="BG17" s="214" t="str">
        <f t="shared" si="12"/>
        <v>F</v>
      </c>
      <c r="BH17" s="214" t="str">
        <f t="shared" si="12"/>
        <v>F</v>
      </c>
      <c r="BI17" s="214" t="str">
        <f t="shared" si="12"/>
        <v>F</v>
      </c>
      <c r="BJ17" s="214" t="str">
        <f t="shared" si="12"/>
        <v>F</v>
      </c>
      <c r="BK17" s="214" t="str">
        <f t="shared" si="12"/>
        <v>F</v>
      </c>
      <c r="BL17" s="214" t="str">
        <f t="shared" si="12"/>
        <v>F</v>
      </c>
      <c r="BM17" s="214" t="str">
        <f t="shared" si="12"/>
        <v>F</v>
      </c>
      <c r="BN17" s="214" t="str">
        <f t="shared" si="12"/>
        <v>F</v>
      </c>
      <c r="BO17" s="215" t="str">
        <f t="shared" si="12"/>
        <v>F</v>
      </c>
      <c r="BP17" s="214" t="str">
        <f t="shared" si="12"/>
        <v>F</v>
      </c>
      <c r="BQ17" s="214" t="str">
        <f t="shared" si="12"/>
        <v>F</v>
      </c>
      <c r="BR17" s="214" t="str">
        <f t="shared" si="12"/>
        <v>F</v>
      </c>
      <c r="BS17" s="214" t="str">
        <f t="shared" si="8"/>
        <v>F</v>
      </c>
      <c r="BT17" s="214" t="str">
        <f t="shared" si="8"/>
        <v>F</v>
      </c>
      <c r="BU17" s="214" t="str">
        <f t="shared" si="8"/>
        <v>F</v>
      </c>
      <c r="BV17" s="214" t="str">
        <f t="shared" si="8"/>
        <v>F</v>
      </c>
      <c r="BW17" s="214" t="str">
        <f t="shared" si="8"/>
        <v>F</v>
      </c>
      <c r="BX17" s="214" t="str">
        <f t="shared" si="8"/>
        <v>F</v>
      </c>
      <c r="BY17" s="215" t="str">
        <f t="shared" si="8"/>
        <v>F</v>
      </c>
      <c r="BZ17" s="214" t="str">
        <f t="shared" si="8"/>
        <v>F</v>
      </c>
      <c r="CA17" s="214" t="str">
        <f t="shared" si="8"/>
        <v>F</v>
      </c>
      <c r="CB17" s="214" t="str">
        <f t="shared" si="8"/>
        <v>F</v>
      </c>
      <c r="CC17" s="214" t="str">
        <f t="shared" si="8"/>
        <v>F</v>
      </c>
      <c r="CD17" s="214" t="str">
        <f t="shared" si="8"/>
        <v>F</v>
      </c>
      <c r="CE17" s="214" t="str">
        <f t="shared" si="8"/>
        <v>F</v>
      </c>
      <c r="CF17" s="214" t="str">
        <f t="shared" si="8"/>
        <v>F</v>
      </c>
      <c r="CG17" s="214" t="str">
        <f t="shared" si="8"/>
        <v>F</v>
      </c>
      <c r="CH17" s="214" t="str">
        <f t="shared" si="8"/>
        <v>F</v>
      </c>
      <c r="CI17" s="225" t="str">
        <f t="shared" si="8"/>
        <v>F</v>
      </c>
      <c r="CJ17" s="224" t="str">
        <f t="shared" si="8"/>
        <v>F</v>
      </c>
      <c r="CK17" s="224" t="str">
        <f t="shared" si="8"/>
        <v>F</v>
      </c>
      <c r="CL17" s="224" t="str">
        <f t="shared" si="8"/>
        <v>F</v>
      </c>
      <c r="CM17" s="224" t="str">
        <f t="shared" si="8"/>
        <v>F</v>
      </c>
      <c r="CN17" s="224" t="str">
        <f t="shared" si="8"/>
        <v>F</v>
      </c>
      <c r="CO17" s="224" t="str">
        <f t="shared" si="8"/>
        <v>F</v>
      </c>
      <c r="CP17" s="224" t="str">
        <f t="shared" si="8"/>
        <v>F</v>
      </c>
      <c r="CQ17" s="224" t="str">
        <f t="shared" si="8"/>
        <v>F</v>
      </c>
      <c r="CR17" s="224" t="str">
        <f t="shared" si="8"/>
        <v>F</v>
      </c>
      <c r="CS17" s="225" t="str">
        <f t="shared" si="8"/>
        <v>F</v>
      </c>
      <c r="CT17" s="224" t="str">
        <f t="shared" si="8"/>
        <v>F</v>
      </c>
      <c r="CU17" s="224" t="str">
        <f t="shared" si="8"/>
        <v>F</v>
      </c>
      <c r="CV17" s="224" t="str">
        <f t="shared" si="8"/>
        <v>F</v>
      </c>
      <c r="CW17" s="224" t="str">
        <f t="shared" si="8"/>
        <v>F</v>
      </c>
      <c r="CX17" s="224" t="str">
        <f t="shared" si="8"/>
        <v>F</v>
      </c>
      <c r="CY17" s="214" t="str">
        <f t="shared" si="8"/>
        <v>F</v>
      </c>
      <c r="CZ17" s="214" t="str">
        <f t="shared" ref="CZ17:DC17" si="13">IF(AND(CZ$3&gt;=$E17,CZ$3&lt;=$F17),"T","F")</f>
        <v>F</v>
      </c>
      <c r="DA17" s="214" t="str">
        <f t="shared" si="13"/>
        <v>F</v>
      </c>
      <c r="DB17" s="214" t="str">
        <f t="shared" si="13"/>
        <v>F</v>
      </c>
      <c r="DC17" s="216" t="str">
        <f t="shared" si="13"/>
        <v>F</v>
      </c>
    </row>
    <row r="18" spans="2:111" x14ac:dyDescent="0.2">
      <c r="B18" s="211"/>
      <c r="C18" s="612"/>
      <c r="D18" s="212"/>
      <c r="E18" s="253"/>
      <c r="F18" s="213"/>
      <c r="G18" s="226"/>
      <c r="H18" s="227"/>
      <c r="I18" s="227"/>
      <c r="J18" s="227"/>
      <c r="K18" s="227"/>
      <c r="L18" s="227"/>
      <c r="M18" s="227"/>
      <c r="N18" s="227"/>
      <c r="O18" s="227"/>
      <c r="P18" s="227"/>
      <c r="Q18" s="228"/>
      <c r="R18" s="227"/>
      <c r="S18" s="227"/>
      <c r="T18" s="227"/>
      <c r="U18" s="227"/>
      <c r="V18" s="227"/>
      <c r="W18" s="227"/>
      <c r="X18" s="227"/>
      <c r="Y18" s="227"/>
      <c r="Z18" s="227"/>
      <c r="AA18" s="228"/>
      <c r="AB18" s="227"/>
      <c r="AC18" s="227"/>
      <c r="AD18" s="227"/>
      <c r="AE18" s="227"/>
      <c r="AF18" s="227"/>
      <c r="AG18" s="227"/>
      <c r="AH18" s="227"/>
      <c r="AI18" s="227"/>
      <c r="AJ18" s="227"/>
      <c r="AK18" s="228"/>
      <c r="AL18" s="227"/>
      <c r="AM18" s="227"/>
      <c r="AN18" s="227"/>
      <c r="AO18" s="227"/>
      <c r="AP18" s="227"/>
      <c r="AQ18" s="227"/>
      <c r="AR18" s="227"/>
      <c r="AS18" s="227"/>
      <c r="AT18" s="227"/>
      <c r="AU18" s="228"/>
      <c r="AV18" s="227"/>
      <c r="AW18" s="227"/>
      <c r="AX18" s="227"/>
      <c r="AY18" s="227"/>
      <c r="AZ18" s="227"/>
      <c r="BA18" s="227"/>
      <c r="BB18" s="227"/>
      <c r="BC18" s="227"/>
      <c r="BD18" s="227"/>
      <c r="BE18" s="228"/>
      <c r="BF18" s="227"/>
      <c r="BG18" s="227"/>
      <c r="BH18" s="227"/>
      <c r="BI18" s="227"/>
      <c r="BJ18" s="227"/>
      <c r="BK18" s="227"/>
      <c r="BL18" s="227"/>
      <c r="BM18" s="227"/>
      <c r="BN18" s="227"/>
      <c r="BO18" s="228"/>
      <c r="BP18" s="227"/>
      <c r="BQ18" s="227"/>
      <c r="BR18" s="227"/>
      <c r="BS18" s="227"/>
      <c r="BT18" s="227"/>
      <c r="BU18" s="227"/>
      <c r="BV18" s="227"/>
      <c r="BW18" s="227"/>
      <c r="BX18" s="227"/>
      <c r="BY18" s="228"/>
      <c r="BZ18" s="227"/>
      <c r="CA18" s="227"/>
      <c r="CB18" s="227"/>
      <c r="CC18" s="227"/>
      <c r="CD18" s="227"/>
      <c r="CE18" s="227"/>
      <c r="CF18" s="227"/>
      <c r="CG18" s="227"/>
      <c r="CH18" s="227"/>
      <c r="CI18" s="228"/>
      <c r="CJ18" s="227"/>
      <c r="CK18" s="227"/>
      <c r="CL18" s="227"/>
      <c r="CM18" s="227"/>
      <c r="CN18" s="227"/>
      <c r="CO18" s="227"/>
      <c r="CP18" s="227"/>
      <c r="CQ18" s="227"/>
      <c r="CR18" s="227"/>
      <c r="CS18" s="228"/>
      <c r="CT18" s="227"/>
      <c r="CU18" s="227"/>
      <c r="CV18" s="227"/>
      <c r="CW18" s="227"/>
      <c r="CX18" s="227"/>
      <c r="CY18" s="227"/>
      <c r="CZ18" s="227"/>
      <c r="DA18" s="227"/>
      <c r="DB18" s="227"/>
      <c r="DC18" s="229"/>
    </row>
    <row r="19" spans="2:111" x14ac:dyDescent="0.2">
      <c r="B19" s="211"/>
      <c r="C19" s="612"/>
      <c r="D19" s="212" t="str">
        <f>'Technology Matrix'!B14</f>
        <v>Stormwater BMP - Gravel Wetland</v>
      </c>
      <c r="E19" s="253">
        <f>'Technology Matrix'!S14</f>
        <v>50</v>
      </c>
      <c r="F19" s="213">
        <f>'Technology Matrix'!T14</f>
        <v>75</v>
      </c>
      <c r="G19" s="215" t="str">
        <f t="shared" ref="G19:BR19" si="14">IF(AND(G$3&gt;=$E19,G$3&lt;=$F19),"T","F")</f>
        <v>F</v>
      </c>
      <c r="H19" s="214" t="str">
        <f t="shared" si="14"/>
        <v>F</v>
      </c>
      <c r="I19" s="214" t="str">
        <f t="shared" si="14"/>
        <v>F</v>
      </c>
      <c r="J19" s="214" t="str">
        <f t="shared" si="14"/>
        <v>F</v>
      </c>
      <c r="K19" s="214" t="str">
        <f t="shared" si="14"/>
        <v>F</v>
      </c>
      <c r="L19" s="214" t="str">
        <f t="shared" si="14"/>
        <v>F</v>
      </c>
      <c r="M19" s="214" t="str">
        <f t="shared" si="14"/>
        <v>F</v>
      </c>
      <c r="N19" s="214" t="str">
        <f t="shared" si="14"/>
        <v>F</v>
      </c>
      <c r="O19" s="214" t="str">
        <f t="shared" si="14"/>
        <v>F</v>
      </c>
      <c r="P19" s="214" t="str">
        <f t="shared" si="14"/>
        <v>F</v>
      </c>
      <c r="Q19" s="215" t="str">
        <f t="shared" si="14"/>
        <v>F</v>
      </c>
      <c r="R19" s="214" t="str">
        <f t="shared" si="14"/>
        <v>F</v>
      </c>
      <c r="S19" s="214" t="str">
        <f t="shared" si="14"/>
        <v>F</v>
      </c>
      <c r="T19" s="214" t="str">
        <f t="shared" si="14"/>
        <v>F</v>
      </c>
      <c r="U19" s="214" t="str">
        <f t="shared" si="14"/>
        <v>F</v>
      </c>
      <c r="V19" s="214" t="str">
        <f t="shared" si="14"/>
        <v>F</v>
      </c>
      <c r="W19" s="214" t="str">
        <f t="shared" si="14"/>
        <v>F</v>
      </c>
      <c r="X19" s="214" t="str">
        <f t="shared" si="14"/>
        <v>F</v>
      </c>
      <c r="Y19" s="214" t="str">
        <f t="shared" si="14"/>
        <v>F</v>
      </c>
      <c r="Z19" s="214" t="str">
        <f t="shared" si="14"/>
        <v>F</v>
      </c>
      <c r="AA19" s="215" t="str">
        <f t="shared" si="14"/>
        <v>F</v>
      </c>
      <c r="AB19" s="214" t="str">
        <f t="shared" si="14"/>
        <v>F</v>
      </c>
      <c r="AC19" s="214" t="str">
        <f t="shared" si="14"/>
        <v>F</v>
      </c>
      <c r="AD19" s="214" t="str">
        <f t="shared" si="14"/>
        <v>F</v>
      </c>
      <c r="AE19" s="214" t="str">
        <f t="shared" si="14"/>
        <v>F</v>
      </c>
      <c r="AF19" s="214" t="str">
        <f t="shared" si="14"/>
        <v>F</v>
      </c>
      <c r="AG19" s="214" t="str">
        <f t="shared" si="14"/>
        <v>F</v>
      </c>
      <c r="AH19" s="214" t="str">
        <f t="shared" si="14"/>
        <v>F</v>
      </c>
      <c r="AI19" s="214" t="str">
        <f t="shared" si="14"/>
        <v>F</v>
      </c>
      <c r="AJ19" s="214" t="str">
        <f t="shared" si="14"/>
        <v>F</v>
      </c>
      <c r="AK19" s="215" t="str">
        <f t="shared" si="14"/>
        <v>F</v>
      </c>
      <c r="AL19" s="214" t="str">
        <f t="shared" si="14"/>
        <v>F</v>
      </c>
      <c r="AM19" s="214" t="str">
        <f t="shared" si="14"/>
        <v>F</v>
      </c>
      <c r="AN19" s="214" t="str">
        <f t="shared" si="14"/>
        <v>F</v>
      </c>
      <c r="AO19" s="214" t="str">
        <f t="shared" si="14"/>
        <v>F</v>
      </c>
      <c r="AP19" s="214" t="str">
        <f t="shared" si="14"/>
        <v>F</v>
      </c>
      <c r="AQ19" s="214" t="str">
        <f t="shared" si="14"/>
        <v>F</v>
      </c>
      <c r="AR19" s="214" t="str">
        <f t="shared" si="14"/>
        <v>F</v>
      </c>
      <c r="AS19" s="214" t="str">
        <f t="shared" si="14"/>
        <v>F</v>
      </c>
      <c r="AT19" s="214" t="str">
        <f t="shared" si="14"/>
        <v>F</v>
      </c>
      <c r="AU19" s="215" t="str">
        <f t="shared" si="14"/>
        <v>F</v>
      </c>
      <c r="AV19" s="214" t="str">
        <f t="shared" si="14"/>
        <v>F</v>
      </c>
      <c r="AW19" s="214" t="str">
        <f t="shared" si="14"/>
        <v>F</v>
      </c>
      <c r="AX19" s="214" t="str">
        <f t="shared" si="14"/>
        <v>F</v>
      </c>
      <c r="AY19" s="214" t="str">
        <f t="shared" si="14"/>
        <v>F</v>
      </c>
      <c r="AZ19" s="214" t="str">
        <f t="shared" si="14"/>
        <v>F</v>
      </c>
      <c r="BA19" s="214" t="str">
        <f t="shared" si="14"/>
        <v>F</v>
      </c>
      <c r="BB19" s="214" t="str">
        <f t="shared" si="14"/>
        <v>F</v>
      </c>
      <c r="BC19" s="214" t="str">
        <f t="shared" si="14"/>
        <v>F</v>
      </c>
      <c r="BD19" s="214" t="str">
        <f t="shared" si="14"/>
        <v>F</v>
      </c>
      <c r="BE19" s="215" t="str">
        <f t="shared" si="14"/>
        <v>T</v>
      </c>
      <c r="BF19" s="214" t="str">
        <f t="shared" si="14"/>
        <v>T</v>
      </c>
      <c r="BG19" s="214" t="str">
        <f t="shared" si="14"/>
        <v>T</v>
      </c>
      <c r="BH19" s="214" t="str">
        <f t="shared" si="14"/>
        <v>T</v>
      </c>
      <c r="BI19" s="214" t="str">
        <f t="shared" si="14"/>
        <v>T</v>
      </c>
      <c r="BJ19" s="214" t="str">
        <f t="shared" si="14"/>
        <v>T</v>
      </c>
      <c r="BK19" s="214" t="str">
        <f t="shared" si="14"/>
        <v>T</v>
      </c>
      <c r="BL19" s="214" t="str">
        <f t="shared" si="14"/>
        <v>T</v>
      </c>
      <c r="BM19" s="214" t="str">
        <f t="shared" si="14"/>
        <v>T</v>
      </c>
      <c r="BN19" s="214" t="str">
        <f t="shared" si="14"/>
        <v>T</v>
      </c>
      <c r="BO19" s="215" t="str">
        <f t="shared" si="14"/>
        <v>T</v>
      </c>
      <c r="BP19" s="214" t="str">
        <f t="shared" si="14"/>
        <v>T</v>
      </c>
      <c r="BQ19" s="214" t="str">
        <f t="shared" si="14"/>
        <v>T</v>
      </c>
      <c r="BR19" s="214" t="str">
        <f t="shared" si="14"/>
        <v>T</v>
      </c>
      <c r="BS19" s="214" t="str">
        <f t="shared" ref="BS19:DC19" si="15">IF(AND(BS$3&gt;=$E19,BS$3&lt;=$F19),"T","F")</f>
        <v>T</v>
      </c>
      <c r="BT19" s="214" t="str">
        <f t="shared" si="15"/>
        <v>T</v>
      </c>
      <c r="BU19" s="214" t="str">
        <f t="shared" si="15"/>
        <v>T</v>
      </c>
      <c r="BV19" s="214" t="str">
        <f t="shared" si="15"/>
        <v>T</v>
      </c>
      <c r="BW19" s="214" t="str">
        <f t="shared" si="15"/>
        <v>T</v>
      </c>
      <c r="BX19" s="214" t="str">
        <f t="shared" si="15"/>
        <v>T</v>
      </c>
      <c r="BY19" s="215" t="str">
        <f t="shared" si="15"/>
        <v>T</v>
      </c>
      <c r="BZ19" s="214" t="str">
        <f t="shared" si="15"/>
        <v>T</v>
      </c>
      <c r="CA19" s="214" t="str">
        <f t="shared" si="15"/>
        <v>T</v>
      </c>
      <c r="CB19" s="214" t="str">
        <f t="shared" si="15"/>
        <v>T</v>
      </c>
      <c r="CC19" s="214" t="str">
        <f t="shared" si="15"/>
        <v>T</v>
      </c>
      <c r="CD19" s="214" t="str">
        <f t="shared" si="15"/>
        <v>T</v>
      </c>
      <c r="CE19" s="214" t="str">
        <f t="shared" si="15"/>
        <v>F</v>
      </c>
      <c r="CF19" s="214" t="str">
        <f t="shared" si="15"/>
        <v>F</v>
      </c>
      <c r="CG19" s="214" t="str">
        <f t="shared" si="15"/>
        <v>F</v>
      </c>
      <c r="CH19" s="214" t="str">
        <f t="shared" si="15"/>
        <v>F</v>
      </c>
      <c r="CI19" s="225" t="str">
        <f t="shared" si="15"/>
        <v>F</v>
      </c>
      <c r="CJ19" s="224" t="str">
        <f t="shared" si="15"/>
        <v>F</v>
      </c>
      <c r="CK19" s="224" t="str">
        <f t="shared" si="15"/>
        <v>F</v>
      </c>
      <c r="CL19" s="224" t="str">
        <f t="shared" si="15"/>
        <v>F</v>
      </c>
      <c r="CM19" s="224" t="str">
        <f t="shared" si="15"/>
        <v>F</v>
      </c>
      <c r="CN19" s="224" t="str">
        <f t="shared" si="15"/>
        <v>F</v>
      </c>
      <c r="CO19" s="224" t="str">
        <f t="shared" si="15"/>
        <v>F</v>
      </c>
      <c r="CP19" s="224" t="str">
        <f t="shared" si="15"/>
        <v>F</v>
      </c>
      <c r="CQ19" s="224" t="str">
        <f t="shared" si="15"/>
        <v>F</v>
      </c>
      <c r="CR19" s="224" t="str">
        <f t="shared" si="15"/>
        <v>F</v>
      </c>
      <c r="CS19" s="225" t="str">
        <f t="shared" si="15"/>
        <v>F</v>
      </c>
      <c r="CT19" s="224" t="str">
        <f t="shared" si="15"/>
        <v>F</v>
      </c>
      <c r="CU19" s="224" t="str">
        <f t="shared" si="15"/>
        <v>F</v>
      </c>
      <c r="CV19" s="224" t="str">
        <f t="shared" si="15"/>
        <v>F</v>
      </c>
      <c r="CW19" s="224" t="str">
        <f t="shared" si="15"/>
        <v>F</v>
      </c>
      <c r="CX19" s="224" t="str">
        <f t="shared" si="15"/>
        <v>F</v>
      </c>
      <c r="CY19" s="214" t="str">
        <f t="shared" si="15"/>
        <v>F</v>
      </c>
      <c r="CZ19" s="214" t="str">
        <f t="shared" si="15"/>
        <v>F</v>
      </c>
      <c r="DA19" s="214" t="str">
        <f t="shared" si="15"/>
        <v>F</v>
      </c>
      <c r="DB19" s="214" t="str">
        <f t="shared" si="15"/>
        <v>F</v>
      </c>
      <c r="DC19" s="216" t="str">
        <f t="shared" si="15"/>
        <v>F</v>
      </c>
    </row>
    <row r="20" spans="2:111" x14ac:dyDescent="0.2">
      <c r="B20" s="211"/>
      <c r="C20" s="612"/>
      <c r="D20" s="212"/>
      <c r="E20" s="253"/>
      <c r="F20" s="213"/>
      <c r="G20" s="226"/>
      <c r="H20" s="227"/>
      <c r="I20" s="227"/>
      <c r="J20" s="227"/>
      <c r="K20" s="227"/>
      <c r="L20" s="227"/>
      <c r="M20" s="227"/>
      <c r="N20" s="227"/>
      <c r="O20" s="227"/>
      <c r="P20" s="227"/>
      <c r="Q20" s="228"/>
      <c r="R20" s="227"/>
      <c r="S20" s="227"/>
      <c r="T20" s="227"/>
      <c r="U20" s="227"/>
      <c r="V20" s="227"/>
      <c r="W20" s="227"/>
      <c r="X20" s="227"/>
      <c r="Y20" s="227"/>
      <c r="Z20" s="227"/>
      <c r="AA20" s="228"/>
      <c r="AB20" s="227"/>
      <c r="AC20" s="227"/>
      <c r="AD20" s="227"/>
      <c r="AE20" s="227"/>
      <c r="AF20" s="227"/>
      <c r="AG20" s="227"/>
      <c r="AH20" s="227"/>
      <c r="AI20" s="227"/>
      <c r="AJ20" s="227"/>
      <c r="AK20" s="228"/>
      <c r="AL20" s="227"/>
      <c r="AM20" s="227"/>
      <c r="AN20" s="227"/>
      <c r="AO20" s="227"/>
      <c r="AP20" s="227"/>
      <c r="AQ20" s="227"/>
      <c r="AR20" s="227"/>
      <c r="AS20" s="227"/>
      <c r="AT20" s="227"/>
      <c r="AU20" s="228"/>
      <c r="AV20" s="227"/>
      <c r="AW20" s="227"/>
      <c r="AX20" s="227"/>
      <c r="AY20" s="227"/>
      <c r="AZ20" s="227"/>
      <c r="BA20" s="227"/>
      <c r="BB20" s="227"/>
      <c r="BC20" s="227"/>
      <c r="BD20" s="227"/>
      <c r="BE20" s="228"/>
      <c r="BF20" s="227"/>
      <c r="BG20" s="227"/>
      <c r="BH20" s="227"/>
      <c r="BI20" s="227"/>
      <c r="BJ20" s="227"/>
      <c r="BK20" s="227"/>
      <c r="BL20" s="227"/>
      <c r="BM20" s="227"/>
      <c r="BN20" s="227"/>
      <c r="BO20" s="228"/>
      <c r="BP20" s="227"/>
      <c r="BQ20" s="227"/>
      <c r="BR20" s="227"/>
      <c r="BS20" s="227"/>
      <c r="BT20" s="227"/>
      <c r="BU20" s="227"/>
      <c r="BV20" s="227"/>
      <c r="BW20" s="227"/>
      <c r="BX20" s="227"/>
      <c r="BY20" s="228"/>
      <c r="BZ20" s="227"/>
      <c r="CA20" s="227"/>
      <c r="CB20" s="227"/>
      <c r="CC20" s="227"/>
      <c r="CD20" s="227"/>
      <c r="CE20" s="227"/>
      <c r="CF20" s="227"/>
      <c r="CG20" s="227"/>
      <c r="CH20" s="227"/>
      <c r="CI20" s="228"/>
      <c r="CJ20" s="227"/>
      <c r="CK20" s="227"/>
      <c r="CL20" s="227"/>
      <c r="CM20" s="227"/>
      <c r="CN20" s="227"/>
      <c r="CO20" s="227"/>
      <c r="CP20" s="227"/>
      <c r="CQ20" s="227"/>
      <c r="CR20" s="227"/>
      <c r="CS20" s="228"/>
      <c r="CT20" s="227"/>
      <c r="CU20" s="227"/>
      <c r="CV20" s="227"/>
      <c r="CW20" s="227"/>
      <c r="CX20" s="227"/>
      <c r="CY20" s="227"/>
      <c r="CZ20" s="227"/>
      <c r="DA20" s="227"/>
      <c r="DB20" s="227"/>
      <c r="DC20" s="229"/>
    </row>
    <row r="21" spans="2:111" x14ac:dyDescent="0.2">
      <c r="B21" s="211"/>
      <c r="C21" s="612"/>
      <c r="D21" s="212" t="str">
        <f>'Technology Matrix'!B15</f>
        <v>Stormwater: Bioretention / Soil Media Filters</v>
      </c>
      <c r="E21" s="253">
        <f>'Technology Matrix'!S15</f>
        <v>25</v>
      </c>
      <c r="F21" s="213">
        <f>'Technology Matrix'!T15</f>
        <v>45</v>
      </c>
      <c r="G21" s="215" t="str">
        <f t="shared" ref="G21:BR21" si="16">IF(AND(G$3&gt;=$E21,G$3&lt;=$F21),"T","F")</f>
        <v>F</v>
      </c>
      <c r="H21" s="214" t="str">
        <f t="shared" si="16"/>
        <v>F</v>
      </c>
      <c r="I21" s="214" t="str">
        <f t="shared" si="16"/>
        <v>F</v>
      </c>
      <c r="J21" s="214" t="str">
        <f t="shared" si="16"/>
        <v>F</v>
      </c>
      <c r="K21" s="214" t="str">
        <f t="shared" si="16"/>
        <v>F</v>
      </c>
      <c r="L21" s="214" t="str">
        <f t="shared" si="16"/>
        <v>F</v>
      </c>
      <c r="M21" s="214" t="str">
        <f t="shared" si="16"/>
        <v>F</v>
      </c>
      <c r="N21" s="214" t="str">
        <f t="shared" si="16"/>
        <v>F</v>
      </c>
      <c r="O21" s="214" t="str">
        <f t="shared" si="16"/>
        <v>F</v>
      </c>
      <c r="P21" s="214" t="str">
        <f t="shared" si="16"/>
        <v>F</v>
      </c>
      <c r="Q21" s="215" t="str">
        <f t="shared" si="16"/>
        <v>F</v>
      </c>
      <c r="R21" s="214" t="str">
        <f t="shared" si="16"/>
        <v>F</v>
      </c>
      <c r="S21" s="214" t="str">
        <f t="shared" si="16"/>
        <v>F</v>
      </c>
      <c r="T21" s="214" t="str">
        <f t="shared" si="16"/>
        <v>F</v>
      </c>
      <c r="U21" s="214" t="str">
        <f t="shared" si="16"/>
        <v>F</v>
      </c>
      <c r="V21" s="214" t="str">
        <f t="shared" si="16"/>
        <v>F</v>
      </c>
      <c r="W21" s="214" t="str">
        <f t="shared" si="16"/>
        <v>F</v>
      </c>
      <c r="X21" s="214" t="str">
        <f t="shared" si="16"/>
        <v>F</v>
      </c>
      <c r="Y21" s="214" t="str">
        <f t="shared" si="16"/>
        <v>F</v>
      </c>
      <c r="Z21" s="214" t="str">
        <f t="shared" si="16"/>
        <v>F</v>
      </c>
      <c r="AA21" s="215" t="str">
        <f t="shared" si="16"/>
        <v>F</v>
      </c>
      <c r="AB21" s="214" t="str">
        <f t="shared" si="16"/>
        <v>F</v>
      </c>
      <c r="AC21" s="214" t="str">
        <f t="shared" si="16"/>
        <v>F</v>
      </c>
      <c r="AD21" s="214" t="str">
        <f t="shared" si="16"/>
        <v>F</v>
      </c>
      <c r="AE21" s="214" t="str">
        <f t="shared" si="16"/>
        <v>F</v>
      </c>
      <c r="AF21" s="214" t="str">
        <f t="shared" si="16"/>
        <v>T</v>
      </c>
      <c r="AG21" s="214" t="str">
        <f t="shared" si="16"/>
        <v>T</v>
      </c>
      <c r="AH21" s="214" t="str">
        <f t="shared" si="16"/>
        <v>T</v>
      </c>
      <c r="AI21" s="214" t="str">
        <f t="shared" si="16"/>
        <v>T</v>
      </c>
      <c r="AJ21" s="214" t="str">
        <f t="shared" si="16"/>
        <v>T</v>
      </c>
      <c r="AK21" s="215" t="str">
        <f t="shared" si="16"/>
        <v>T</v>
      </c>
      <c r="AL21" s="214" t="str">
        <f t="shared" si="16"/>
        <v>T</v>
      </c>
      <c r="AM21" s="214" t="str">
        <f t="shared" si="16"/>
        <v>T</v>
      </c>
      <c r="AN21" s="214" t="str">
        <f t="shared" si="16"/>
        <v>T</v>
      </c>
      <c r="AO21" s="214" t="str">
        <f t="shared" si="16"/>
        <v>T</v>
      </c>
      <c r="AP21" s="214" t="str">
        <f t="shared" si="16"/>
        <v>T</v>
      </c>
      <c r="AQ21" s="214" t="str">
        <f t="shared" si="16"/>
        <v>T</v>
      </c>
      <c r="AR21" s="214" t="str">
        <f t="shared" si="16"/>
        <v>T</v>
      </c>
      <c r="AS21" s="214" t="str">
        <f t="shared" si="16"/>
        <v>T</v>
      </c>
      <c r="AT21" s="214" t="str">
        <f t="shared" si="16"/>
        <v>T</v>
      </c>
      <c r="AU21" s="215" t="str">
        <f t="shared" si="16"/>
        <v>T</v>
      </c>
      <c r="AV21" s="214" t="str">
        <f t="shared" si="16"/>
        <v>T</v>
      </c>
      <c r="AW21" s="214" t="str">
        <f t="shared" si="16"/>
        <v>T</v>
      </c>
      <c r="AX21" s="214" t="str">
        <f t="shared" si="16"/>
        <v>T</v>
      </c>
      <c r="AY21" s="214" t="str">
        <f t="shared" si="16"/>
        <v>T</v>
      </c>
      <c r="AZ21" s="214" t="str">
        <f t="shared" si="16"/>
        <v>T</v>
      </c>
      <c r="BA21" s="214" t="str">
        <f t="shared" si="16"/>
        <v>F</v>
      </c>
      <c r="BB21" s="214" t="str">
        <f t="shared" si="16"/>
        <v>F</v>
      </c>
      <c r="BC21" s="214" t="str">
        <f t="shared" si="16"/>
        <v>F</v>
      </c>
      <c r="BD21" s="214" t="str">
        <f t="shared" si="16"/>
        <v>F</v>
      </c>
      <c r="BE21" s="215" t="str">
        <f t="shared" si="16"/>
        <v>F</v>
      </c>
      <c r="BF21" s="214" t="str">
        <f t="shared" si="16"/>
        <v>F</v>
      </c>
      <c r="BG21" s="214" t="str">
        <f t="shared" si="16"/>
        <v>F</v>
      </c>
      <c r="BH21" s="214" t="str">
        <f t="shared" si="16"/>
        <v>F</v>
      </c>
      <c r="BI21" s="214" t="str">
        <f t="shared" si="16"/>
        <v>F</v>
      </c>
      <c r="BJ21" s="214" t="str">
        <f t="shared" si="16"/>
        <v>F</v>
      </c>
      <c r="BK21" s="214" t="str">
        <f t="shared" si="16"/>
        <v>F</v>
      </c>
      <c r="BL21" s="214" t="str">
        <f t="shared" si="16"/>
        <v>F</v>
      </c>
      <c r="BM21" s="214" t="str">
        <f t="shared" si="16"/>
        <v>F</v>
      </c>
      <c r="BN21" s="214" t="str">
        <f t="shared" si="16"/>
        <v>F</v>
      </c>
      <c r="BO21" s="215" t="str">
        <f t="shared" si="16"/>
        <v>F</v>
      </c>
      <c r="BP21" s="214" t="str">
        <f t="shared" si="16"/>
        <v>F</v>
      </c>
      <c r="BQ21" s="214" t="str">
        <f t="shared" si="16"/>
        <v>F</v>
      </c>
      <c r="BR21" s="214" t="str">
        <f t="shared" si="16"/>
        <v>F</v>
      </c>
      <c r="BS21" s="214" t="str">
        <f t="shared" ref="BS21:DC21" si="17">IF(AND(BS$3&gt;=$E21,BS$3&lt;=$F21),"T","F")</f>
        <v>F</v>
      </c>
      <c r="BT21" s="214" t="str">
        <f t="shared" si="17"/>
        <v>F</v>
      </c>
      <c r="BU21" s="214" t="str">
        <f t="shared" si="17"/>
        <v>F</v>
      </c>
      <c r="BV21" s="214" t="str">
        <f t="shared" si="17"/>
        <v>F</v>
      </c>
      <c r="BW21" s="214" t="str">
        <f t="shared" si="17"/>
        <v>F</v>
      </c>
      <c r="BX21" s="214" t="str">
        <f t="shared" si="17"/>
        <v>F</v>
      </c>
      <c r="BY21" s="215" t="str">
        <f t="shared" si="17"/>
        <v>F</v>
      </c>
      <c r="BZ21" s="214" t="str">
        <f t="shared" si="17"/>
        <v>F</v>
      </c>
      <c r="CA21" s="214" t="str">
        <f t="shared" si="17"/>
        <v>F</v>
      </c>
      <c r="CB21" s="214" t="str">
        <f t="shared" si="17"/>
        <v>F</v>
      </c>
      <c r="CC21" s="214" t="str">
        <f t="shared" si="17"/>
        <v>F</v>
      </c>
      <c r="CD21" s="214" t="str">
        <f t="shared" si="17"/>
        <v>F</v>
      </c>
      <c r="CE21" s="214" t="str">
        <f t="shared" si="17"/>
        <v>F</v>
      </c>
      <c r="CF21" s="214" t="str">
        <f t="shared" si="17"/>
        <v>F</v>
      </c>
      <c r="CG21" s="214" t="str">
        <f t="shared" si="17"/>
        <v>F</v>
      </c>
      <c r="CH21" s="214" t="str">
        <f t="shared" si="17"/>
        <v>F</v>
      </c>
      <c r="CI21" s="225" t="str">
        <f t="shared" si="17"/>
        <v>F</v>
      </c>
      <c r="CJ21" s="224" t="str">
        <f t="shared" si="17"/>
        <v>F</v>
      </c>
      <c r="CK21" s="224" t="str">
        <f t="shared" si="17"/>
        <v>F</v>
      </c>
      <c r="CL21" s="224" t="str">
        <f t="shared" si="17"/>
        <v>F</v>
      </c>
      <c r="CM21" s="224" t="str">
        <f t="shared" si="17"/>
        <v>F</v>
      </c>
      <c r="CN21" s="224" t="str">
        <f t="shared" si="17"/>
        <v>F</v>
      </c>
      <c r="CO21" s="224" t="str">
        <f t="shared" si="17"/>
        <v>F</v>
      </c>
      <c r="CP21" s="224" t="str">
        <f t="shared" si="17"/>
        <v>F</v>
      </c>
      <c r="CQ21" s="224" t="str">
        <f t="shared" si="17"/>
        <v>F</v>
      </c>
      <c r="CR21" s="224" t="str">
        <f t="shared" si="17"/>
        <v>F</v>
      </c>
      <c r="CS21" s="225" t="str">
        <f t="shared" si="17"/>
        <v>F</v>
      </c>
      <c r="CT21" s="224" t="str">
        <f t="shared" si="17"/>
        <v>F</v>
      </c>
      <c r="CU21" s="224" t="str">
        <f t="shared" si="17"/>
        <v>F</v>
      </c>
      <c r="CV21" s="224" t="str">
        <f t="shared" si="17"/>
        <v>F</v>
      </c>
      <c r="CW21" s="224" t="str">
        <f t="shared" si="17"/>
        <v>F</v>
      </c>
      <c r="CX21" s="224" t="str">
        <f t="shared" si="17"/>
        <v>F</v>
      </c>
      <c r="CY21" s="214" t="str">
        <f t="shared" si="17"/>
        <v>F</v>
      </c>
      <c r="CZ21" s="214" t="str">
        <f t="shared" si="17"/>
        <v>F</v>
      </c>
      <c r="DA21" s="214" t="str">
        <f t="shared" si="17"/>
        <v>F</v>
      </c>
      <c r="DB21" s="214" t="str">
        <f t="shared" si="17"/>
        <v>F</v>
      </c>
      <c r="DC21" s="216" t="str">
        <f t="shared" si="17"/>
        <v>F</v>
      </c>
    </row>
    <row r="22" spans="2:111" x14ac:dyDescent="0.2">
      <c r="B22" s="211"/>
      <c r="C22" s="612"/>
      <c r="D22" s="212"/>
      <c r="E22" s="253"/>
      <c r="F22" s="213"/>
      <c r="G22" s="226"/>
      <c r="H22" s="227"/>
      <c r="I22" s="227"/>
      <c r="J22" s="227"/>
      <c r="K22" s="227"/>
      <c r="L22" s="227"/>
      <c r="M22" s="227"/>
      <c r="N22" s="227"/>
      <c r="O22" s="227"/>
      <c r="P22" s="227"/>
      <c r="Q22" s="228"/>
      <c r="R22" s="227"/>
      <c r="S22" s="227"/>
      <c r="T22" s="227"/>
      <c r="U22" s="227"/>
      <c r="V22" s="227"/>
      <c r="W22" s="227"/>
      <c r="X22" s="227"/>
      <c r="Y22" s="227"/>
      <c r="Z22" s="227"/>
      <c r="AA22" s="228"/>
      <c r="AB22" s="227"/>
      <c r="AC22" s="227"/>
      <c r="AD22" s="227"/>
      <c r="AE22" s="227"/>
      <c r="AF22" s="227"/>
      <c r="AG22" s="227"/>
      <c r="AH22" s="227"/>
      <c r="AI22" s="227"/>
      <c r="AJ22" s="227"/>
      <c r="AK22" s="228"/>
      <c r="AL22" s="227"/>
      <c r="AM22" s="227"/>
      <c r="AN22" s="227"/>
      <c r="AO22" s="227"/>
      <c r="AP22" s="227"/>
      <c r="AQ22" s="227"/>
      <c r="AR22" s="227"/>
      <c r="AS22" s="227"/>
      <c r="AT22" s="227"/>
      <c r="AU22" s="228"/>
      <c r="AV22" s="227"/>
      <c r="AW22" s="227"/>
      <c r="AX22" s="227"/>
      <c r="AY22" s="227"/>
      <c r="AZ22" s="227"/>
      <c r="BA22" s="227"/>
      <c r="BB22" s="227"/>
      <c r="BC22" s="227"/>
      <c r="BD22" s="227"/>
      <c r="BE22" s="228"/>
      <c r="BF22" s="227"/>
      <c r="BG22" s="227"/>
      <c r="BH22" s="227"/>
      <c r="BI22" s="227"/>
      <c r="BJ22" s="227"/>
      <c r="BK22" s="227"/>
      <c r="BL22" s="227"/>
      <c r="BM22" s="227"/>
      <c r="BN22" s="227"/>
      <c r="BO22" s="228"/>
      <c r="BP22" s="227"/>
      <c r="BQ22" s="227"/>
      <c r="BR22" s="227"/>
      <c r="BS22" s="227"/>
      <c r="BT22" s="227"/>
      <c r="BU22" s="227"/>
      <c r="BV22" s="227"/>
      <c r="BW22" s="227"/>
      <c r="BX22" s="227"/>
      <c r="BY22" s="228"/>
      <c r="BZ22" s="227"/>
      <c r="CA22" s="227"/>
      <c r="CB22" s="227"/>
      <c r="CC22" s="227"/>
      <c r="CD22" s="227"/>
      <c r="CE22" s="227"/>
      <c r="CF22" s="227"/>
      <c r="CG22" s="227"/>
      <c r="CH22" s="227"/>
      <c r="CI22" s="228"/>
      <c r="CJ22" s="227"/>
      <c r="CK22" s="227"/>
      <c r="CL22" s="227"/>
      <c r="CM22" s="227"/>
      <c r="CN22" s="227"/>
      <c r="CO22" s="227"/>
      <c r="CP22" s="227"/>
      <c r="CQ22" s="227"/>
      <c r="CR22" s="227"/>
      <c r="CS22" s="228"/>
      <c r="CT22" s="227"/>
      <c r="CU22" s="227"/>
      <c r="CV22" s="227"/>
      <c r="CW22" s="227"/>
      <c r="CX22" s="227"/>
      <c r="CY22" s="227"/>
      <c r="CZ22" s="227"/>
      <c r="DA22" s="227"/>
      <c r="DB22" s="227"/>
      <c r="DC22" s="229"/>
    </row>
    <row r="23" spans="2:111" x14ac:dyDescent="0.2">
      <c r="B23" s="211"/>
      <c r="C23" s="612"/>
      <c r="D23" s="212" t="str">
        <f>'Technology Matrix'!B16</f>
        <v>Stormwater: Constructed Wetlands</v>
      </c>
      <c r="E23" s="253">
        <f>'Technology Matrix'!S16</f>
        <v>50</v>
      </c>
      <c r="F23" s="213">
        <f>'Technology Matrix'!T16</f>
        <v>90</v>
      </c>
      <c r="G23" s="215" t="str">
        <f t="shared" ref="G23:BR23" si="18">IF(AND(G$3&gt;=$E23,G$3&lt;=$F23),"T","F")</f>
        <v>F</v>
      </c>
      <c r="H23" s="214" t="str">
        <f t="shared" si="18"/>
        <v>F</v>
      </c>
      <c r="I23" s="214" t="str">
        <f t="shared" si="18"/>
        <v>F</v>
      </c>
      <c r="J23" s="214" t="str">
        <f t="shared" si="18"/>
        <v>F</v>
      </c>
      <c r="K23" s="214" t="str">
        <f t="shared" si="18"/>
        <v>F</v>
      </c>
      <c r="L23" s="214" t="str">
        <f t="shared" si="18"/>
        <v>F</v>
      </c>
      <c r="M23" s="214" t="str">
        <f t="shared" si="18"/>
        <v>F</v>
      </c>
      <c r="N23" s="214" t="str">
        <f t="shared" si="18"/>
        <v>F</v>
      </c>
      <c r="O23" s="214" t="str">
        <f t="shared" si="18"/>
        <v>F</v>
      </c>
      <c r="P23" s="214" t="str">
        <f t="shared" si="18"/>
        <v>F</v>
      </c>
      <c r="Q23" s="215" t="str">
        <f t="shared" si="18"/>
        <v>F</v>
      </c>
      <c r="R23" s="214" t="str">
        <f t="shared" si="18"/>
        <v>F</v>
      </c>
      <c r="S23" s="214" t="str">
        <f t="shared" si="18"/>
        <v>F</v>
      </c>
      <c r="T23" s="214" t="str">
        <f t="shared" si="18"/>
        <v>F</v>
      </c>
      <c r="U23" s="214" t="str">
        <f t="shared" si="18"/>
        <v>F</v>
      </c>
      <c r="V23" s="214" t="str">
        <f t="shared" si="18"/>
        <v>F</v>
      </c>
      <c r="W23" s="214" t="str">
        <f t="shared" si="18"/>
        <v>F</v>
      </c>
      <c r="X23" s="214" t="str">
        <f t="shared" si="18"/>
        <v>F</v>
      </c>
      <c r="Y23" s="214" t="str">
        <f t="shared" si="18"/>
        <v>F</v>
      </c>
      <c r="Z23" s="214" t="str">
        <f t="shared" si="18"/>
        <v>F</v>
      </c>
      <c r="AA23" s="215" t="str">
        <f t="shared" si="18"/>
        <v>F</v>
      </c>
      <c r="AB23" s="214" t="str">
        <f t="shared" si="18"/>
        <v>F</v>
      </c>
      <c r="AC23" s="214" t="str">
        <f t="shared" si="18"/>
        <v>F</v>
      </c>
      <c r="AD23" s="214" t="str">
        <f t="shared" si="18"/>
        <v>F</v>
      </c>
      <c r="AE23" s="214" t="str">
        <f t="shared" si="18"/>
        <v>F</v>
      </c>
      <c r="AF23" s="214" t="str">
        <f t="shared" si="18"/>
        <v>F</v>
      </c>
      <c r="AG23" s="214" t="str">
        <f t="shared" si="18"/>
        <v>F</v>
      </c>
      <c r="AH23" s="214" t="str">
        <f t="shared" si="18"/>
        <v>F</v>
      </c>
      <c r="AI23" s="214" t="str">
        <f t="shared" si="18"/>
        <v>F</v>
      </c>
      <c r="AJ23" s="214" t="str">
        <f t="shared" si="18"/>
        <v>F</v>
      </c>
      <c r="AK23" s="215" t="str">
        <f t="shared" si="18"/>
        <v>F</v>
      </c>
      <c r="AL23" s="214" t="str">
        <f t="shared" si="18"/>
        <v>F</v>
      </c>
      <c r="AM23" s="214" t="str">
        <f t="shared" si="18"/>
        <v>F</v>
      </c>
      <c r="AN23" s="214" t="str">
        <f t="shared" si="18"/>
        <v>F</v>
      </c>
      <c r="AO23" s="214" t="str">
        <f t="shared" si="18"/>
        <v>F</v>
      </c>
      <c r="AP23" s="214" t="str">
        <f t="shared" si="18"/>
        <v>F</v>
      </c>
      <c r="AQ23" s="214" t="str">
        <f t="shared" si="18"/>
        <v>F</v>
      </c>
      <c r="AR23" s="214" t="str">
        <f t="shared" si="18"/>
        <v>F</v>
      </c>
      <c r="AS23" s="214" t="str">
        <f t="shared" si="18"/>
        <v>F</v>
      </c>
      <c r="AT23" s="214" t="str">
        <f t="shared" si="18"/>
        <v>F</v>
      </c>
      <c r="AU23" s="215" t="str">
        <f t="shared" si="18"/>
        <v>F</v>
      </c>
      <c r="AV23" s="214" t="str">
        <f t="shared" si="18"/>
        <v>F</v>
      </c>
      <c r="AW23" s="214" t="str">
        <f t="shared" si="18"/>
        <v>F</v>
      </c>
      <c r="AX23" s="214" t="str">
        <f t="shared" si="18"/>
        <v>F</v>
      </c>
      <c r="AY23" s="214" t="str">
        <f t="shared" si="18"/>
        <v>F</v>
      </c>
      <c r="AZ23" s="214" t="str">
        <f t="shared" si="18"/>
        <v>F</v>
      </c>
      <c r="BA23" s="214" t="str">
        <f t="shared" si="18"/>
        <v>F</v>
      </c>
      <c r="BB23" s="214" t="str">
        <f t="shared" si="18"/>
        <v>F</v>
      </c>
      <c r="BC23" s="214" t="str">
        <f t="shared" si="18"/>
        <v>F</v>
      </c>
      <c r="BD23" s="214" t="str">
        <f t="shared" si="18"/>
        <v>F</v>
      </c>
      <c r="BE23" s="215" t="str">
        <f t="shared" si="18"/>
        <v>T</v>
      </c>
      <c r="BF23" s="214" t="str">
        <f t="shared" si="18"/>
        <v>T</v>
      </c>
      <c r="BG23" s="214" t="str">
        <f t="shared" si="18"/>
        <v>T</v>
      </c>
      <c r="BH23" s="214" t="str">
        <f t="shared" si="18"/>
        <v>T</v>
      </c>
      <c r="BI23" s="214" t="str">
        <f t="shared" si="18"/>
        <v>T</v>
      </c>
      <c r="BJ23" s="214" t="str">
        <f t="shared" si="18"/>
        <v>T</v>
      </c>
      <c r="BK23" s="214" t="str">
        <f t="shared" si="18"/>
        <v>T</v>
      </c>
      <c r="BL23" s="214" t="str">
        <f t="shared" si="18"/>
        <v>T</v>
      </c>
      <c r="BM23" s="214" t="str">
        <f t="shared" si="18"/>
        <v>T</v>
      </c>
      <c r="BN23" s="214" t="str">
        <f t="shared" si="18"/>
        <v>T</v>
      </c>
      <c r="BO23" s="215" t="str">
        <f t="shared" si="18"/>
        <v>T</v>
      </c>
      <c r="BP23" s="214" t="str">
        <f t="shared" si="18"/>
        <v>T</v>
      </c>
      <c r="BQ23" s="214" t="str">
        <f t="shared" si="18"/>
        <v>T</v>
      </c>
      <c r="BR23" s="214" t="str">
        <f t="shared" si="18"/>
        <v>T</v>
      </c>
      <c r="BS23" s="214" t="str">
        <f t="shared" ref="BS23:DC23" si="19">IF(AND(BS$3&gt;=$E23,BS$3&lt;=$F23),"T","F")</f>
        <v>T</v>
      </c>
      <c r="BT23" s="214" t="str">
        <f t="shared" si="19"/>
        <v>T</v>
      </c>
      <c r="BU23" s="214" t="str">
        <f t="shared" si="19"/>
        <v>T</v>
      </c>
      <c r="BV23" s="214" t="str">
        <f t="shared" si="19"/>
        <v>T</v>
      </c>
      <c r="BW23" s="214" t="str">
        <f t="shared" si="19"/>
        <v>T</v>
      </c>
      <c r="BX23" s="214" t="str">
        <f t="shared" si="19"/>
        <v>T</v>
      </c>
      <c r="BY23" s="215" t="str">
        <f t="shared" si="19"/>
        <v>T</v>
      </c>
      <c r="BZ23" s="214" t="str">
        <f t="shared" si="19"/>
        <v>T</v>
      </c>
      <c r="CA23" s="214" t="str">
        <f t="shared" si="19"/>
        <v>T</v>
      </c>
      <c r="CB23" s="214" t="str">
        <f t="shared" si="19"/>
        <v>T</v>
      </c>
      <c r="CC23" s="214" t="str">
        <f t="shared" si="19"/>
        <v>T</v>
      </c>
      <c r="CD23" s="214" t="str">
        <f t="shared" si="19"/>
        <v>T</v>
      </c>
      <c r="CE23" s="214" t="str">
        <f t="shared" si="19"/>
        <v>T</v>
      </c>
      <c r="CF23" s="214" t="str">
        <f t="shared" si="19"/>
        <v>T</v>
      </c>
      <c r="CG23" s="214" t="str">
        <f t="shared" si="19"/>
        <v>T</v>
      </c>
      <c r="CH23" s="214" t="str">
        <f t="shared" si="19"/>
        <v>T</v>
      </c>
      <c r="CI23" s="225" t="str">
        <f t="shared" si="19"/>
        <v>T</v>
      </c>
      <c r="CJ23" s="224" t="str">
        <f t="shared" si="19"/>
        <v>T</v>
      </c>
      <c r="CK23" s="224" t="str">
        <f t="shared" si="19"/>
        <v>T</v>
      </c>
      <c r="CL23" s="224" t="str">
        <f t="shared" si="19"/>
        <v>T</v>
      </c>
      <c r="CM23" s="224" t="str">
        <f t="shared" si="19"/>
        <v>T</v>
      </c>
      <c r="CN23" s="224" t="str">
        <f t="shared" si="19"/>
        <v>T</v>
      </c>
      <c r="CO23" s="224" t="str">
        <f t="shared" si="19"/>
        <v>T</v>
      </c>
      <c r="CP23" s="224" t="str">
        <f t="shared" si="19"/>
        <v>T</v>
      </c>
      <c r="CQ23" s="224" t="str">
        <f t="shared" si="19"/>
        <v>T</v>
      </c>
      <c r="CR23" s="224" t="str">
        <f t="shared" si="19"/>
        <v>T</v>
      </c>
      <c r="CS23" s="225" t="str">
        <f t="shared" si="19"/>
        <v>T</v>
      </c>
      <c r="CT23" s="224" t="str">
        <f t="shared" si="19"/>
        <v>F</v>
      </c>
      <c r="CU23" s="224" t="str">
        <f t="shared" si="19"/>
        <v>F</v>
      </c>
      <c r="CV23" s="224" t="str">
        <f t="shared" si="19"/>
        <v>F</v>
      </c>
      <c r="CW23" s="224" t="str">
        <f t="shared" si="19"/>
        <v>F</v>
      </c>
      <c r="CX23" s="224" t="str">
        <f t="shared" si="19"/>
        <v>F</v>
      </c>
      <c r="CY23" s="214" t="str">
        <f t="shared" si="19"/>
        <v>F</v>
      </c>
      <c r="CZ23" s="214" t="str">
        <f t="shared" si="19"/>
        <v>F</v>
      </c>
      <c r="DA23" s="214" t="str">
        <f t="shared" si="19"/>
        <v>F</v>
      </c>
      <c r="DB23" s="214" t="str">
        <f t="shared" si="19"/>
        <v>F</v>
      </c>
      <c r="DC23" s="216" t="str">
        <f t="shared" si="19"/>
        <v>F</v>
      </c>
    </row>
    <row r="24" spans="2:111" s="220" customFormat="1" x14ac:dyDescent="0.2">
      <c r="B24" s="221"/>
      <c r="C24" s="232"/>
      <c r="D24" s="212"/>
      <c r="E24" s="253"/>
      <c r="F24" s="213"/>
      <c r="G24" s="226"/>
      <c r="H24" s="227"/>
      <c r="I24" s="227"/>
      <c r="J24" s="227"/>
      <c r="K24" s="227"/>
      <c r="L24" s="227"/>
      <c r="M24" s="227"/>
      <c r="N24" s="227"/>
      <c r="O24" s="227"/>
      <c r="P24" s="227"/>
      <c r="Q24" s="228"/>
      <c r="R24" s="227"/>
      <c r="S24" s="227"/>
      <c r="T24" s="227"/>
      <c r="U24" s="227"/>
      <c r="V24" s="227"/>
      <c r="W24" s="227"/>
      <c r="X24" s="227"/>
      <c r="Y24" s="227"/>
      <c r="Z24" s="227"/>
      <c r="AA24" s="228"/>
      <c r="AB24" s="227"/>
      <c r="AC24" s="227"/>
      <c r="AD24" s="227"/>
      <c r="AE24" s="227"/>
      <c r="AF24" s="227"/>
      <c r="AG24" s="227"/>
      <c r="AH24" s="227"/>
      <c r="AI24" s="227"/>
      <c r="AJ24" s="227"/>
      <c r="AK24" s="228"/>
      <c r="AL24" s="227"/>
      <c r="AM24" s="227"/>
      <c r="AN24" s="227"/>
      <c r="AO24" s="227"/>
      <c r="AP24" s="227"/>
      <c r="AQ24" s="227"/>
      <c r="AR24" s="227"/>
      <c r="AS24" s="227"/>
      <c r="AT24" s="227"/>
      <c r="AU24" s="228"/>
      <c r="AV24" s="227"/>
      <c r="AW24" s="227"/>
      <c r="AX24" s="227"/>
      <c r="AY24" s="227"/>
      <c r="AZ24" s="227"/>
      <c r="BA24" s="227"/>
      <c r="BB24" s="227"/>
      <c r="BC24" s="227"/>
      <c r="BD24" s="227"/>
      <c r="BE24" s="228"/>
      <c r="BF24" s="227"/>
      <c r="BG24" s="227"/>
      <c r="BH24" s="227"/>
      <c r="BI24" s="227"/>
      <c r="BJ24" s="227"/>
      <c r="BK24" s="227"/>
      <c r="BL24" s="227"/>
      <c r="BM24" s="227"/>
      <c r="BN24" s="227"/>
      <c r="BO24" s="228"/>
      <c r="BP24" s="227"/>
      <c r="BQ24" s="227"/>
      <c r="BR24" s="227"/>
      <c r="BS24" s="227"/>
      <c r="BT24" s="227"/>
      <c r="BU24" s="227"/>
      <c r="BV24" s="227"/>
      <c r="BW24" s="227"/>
      <c r="BX24" s="227"/>
      <c r="BY24" s="228"/>
      <c r="BZ24" s="227"/>
      <c r="CA24" s="227"/>
      <c r="CB24" s="227"/>
      <c r="CC24" s="227"/>
      <c r="CD24" s="227"/>
      <c r="CE24" s="227"/>
      <c r="CF24" s="227"/>
      <c r="CG24" s="227"/>
      <c r="CH24" s="227"/>
      <c r="CI24" s="228"/>
      <c r="CJ24" s="227"/>
      <c r="CK24" s="227"/>
      <c r="CL24" s="227"/>
      <c r="CM24" s="227"/>
      <c r="CN24" s="227"/>
      <c r="CO24" s="227"/>
      <c r="CP24" s="227"/>
      <c r="CQ24" s="227"/>
      <c r="CR24" s="227"/>
      <c r="CS24" s="228"/>
      <c r="CT24" s="227"/>
      <c r="CU24" s="227"/>
      <c r="CV24" s="227"/>
      <c r="CW24" s="227"/>
      <c r="CX24" s="227"/>
      <c r="CY24" s="227"/>
      <c r="CZ24" s="227"/>
      <c r="DA24" s="227"/>
      <c r="DB24" s="227"/>
      <c r="DC24" s="229"/>
      <c r="DD24" s="233"/>
      <c r="DE24" s="233"/>
      <c r="DF24" s="233"/>
      <c r="DG24" s="233"/>
    </row>
    <row r="25" spans="2:111" ht="12.75" customHeight="1" x14ac:dyDescent="0.2">
      <c r="B25" s="211"/>
      <c r="C25" s="613" t="str">
        <f>'Technology Matrix'!A17</f>
        <v>Innovative and Resource-Management Technologies</v>
      </c>
      <c r="D25" s="212" t="str">
        <f>'Technology Matrix'!B17</f>
        <v>Aquaculture - Shellfish Cultivated In Estuary Bed</v>
      </c>
      <c r="E25" s="253">
        <f>'Technology Matrix'!S17</f>
        <v>8</v>
      </c>
      <c r="F25" s="213">
        <f>'Technology Matrix'!T17</f>
        <v>15</v>
      </c>
      <c r="G25" s="215" t="str">
        <f t="shared" ref="G25:BR31" si="20">IF(AND(G$3&gt;=$E25,G$3&lt;=$F25),"T","F")</f>
        <v>F</v>
      </c>
      <c r="H25" s="214" t="str">
        <f t="shared" si="20"/>
        <v>F</v>
      </c>
      <c r="I25" s="214" t="str">
        <f t="shared" si="20"/>
        <v>F</v>
      </c>
      <c r="J25" s="214" t="str">
        <f t="shared" si="20"/>
        <v>F</v>
      </c>
      <c r="K25" s="214" t="str">
        <f t="shared" si="20"/>
        <v>F</v>
      </c>
      <c r="L25" s="214" t="str">
        <f t="shared" si="20"/>
        <v>F</v>
      </c>
      <c r="M25" s="214" t="str">
        <f t="shared" si="20"/>
        <v>F</v>
      </c>
      <c r="N25" s="214" t="str">
        <f t="shared" si="20"/>
        <v>F</v>
      </c>
      <c r="O25" s="214" t="str">
        <f t="shared" si="20"/>
        <v>T</v>
      </c>
      <c r="P25" s="214" t="str">
        <f t="shared" si="20"/>
        <v>T</v>
      </c>
      <c r="Q25" s="215" t="str">
        <f t="shared" si="20"/>
        <v>T</v>
      </c>
      <c r="R25" s="214" t="str">
        <f t="shared" si="20"/>
        <v>T</v>
      </c>
      <c r="S25" s="214" t="str">
        <f t="shared" si="20"/>
        <v>T</v>
      </c>
      <c r="T25" s="214" t="str">
        <f t="shared" si="20"/>
        <v>T</v>
      </c>
      <c r="U25" s="214" t="str">
        <f t="shared" si="20"/>
        <v>T</v>
      </c>
      <c r="V25" s="214" t="str">
        <f t="shared" si="20"/>
        <v>T</v>
      </c>
      <c r="W25" s="214" t="str">
        <f t="shared" si="20"/>
        <v>F</v>
      </c>
      <c r="X25" s="214" t="str">
        <f t="shared" si="20"/>
        <v>F</v>
      </c>
      <c r="Y25" s="214" t="str">
        <f t="shared" si="20"/>
        <v>F</v>
      </c>
      <c r="Z25" s="214" t="str">
        <f t="shared" si="20"/>
        <v>F</v>
      </c>
      <c r="AA25" s="215" t="str">
        <f t="shared" si="20"/>
        <v>F</v>
      </c>
      <c r="AB25" s="214" t="str">
        <f t="shared" si="20"/>
        <v>F</v>
      </c>
      <c r="AC25" s="214" t="str">
        <f t="shared" si="20"/>
        <v>F</v>
      </c>
      <c r="AD25" s="214" t="str">
        <f t="shared" si="20"/>
        <v>F</v>
      </c>
      <c r="AE25" s="214" t="str">
        <f t="shared" si="20"/>
        <v>F</v>
      </c>
      <c r="AF25" s="214" t="str">
        <f t="shared" si="20"/>
        <v>F</v>
      </c>
      <c r="AG25" s="214" t="str">
        <f t="shared" si="20"/>
        <v>F</v>
      </c>
      <c r="AH25" s="214" t="str">
        <f t="shared" si="20"/>
        <v>F</v>
      </c>
      <c r="AI25" s="214" t="str">
        <f t="shared" si="20"/>
        <v>F</v>
      </c>
      <c r="AJ25" s="214" t="str">
        <f t="shared" si="20"/>
        <v>F</v>
      </c>
      <c r="AK25" s="215" t="str">
        <f t="shared" si="20"/>
        <v>F</v>
      </c>
      <c r="AL25" s="214" t="str">
        <f t="shared" si="20"/>
        <v>F</v>
      </c>
      <c r="AM25" s="214" t="str">
        <f t="shared" si="20"/>
        <v>F</v>
      </c>
      <c r="AN25" s="214" t="str">
        <f t="shared" si="20"/>
        <v>F</v>
      </c>
      <c r="AO25" s="214" t="str">
        <f t="shared" si="20"/>
        <v>F</v>
      </c>
      <c r="AP25" s="214" t="str">
        <f t="shared" si="20"/>
        <v>F</v>
      </c>
      <c r="AQ25" s="214" t="str">
        <f t="shared" si="20"/>
        <v>F</v>
      </c>
      <c r="AR25" s="214" t="str">
        <f t="shared" si="20"/>
        <v>F</v>
      </c>
      <c r="AS25" s="214" t="str">
        <f t="shared" si="20"/>
        <v>F</v>
      </c>
      <c r="AT25" s="214" t="str">
        <f t="shared" si="20"/>
        <v>F</v>
      </c>
      <c r="AU25" s="215" t="str">
        <f t="shared" si="20"/>
        <v>F</v>
      </c>
      <c r="AV25" s="214" t="str">
        <f t="shared" si="20"/>
        <v>F</v>
      </c>
      <c r="AW25" s="214" t="str">
        <f t="shared" si="20"/>
        <v>F</v>
      </c>
      <c r="AX25" s="214" t="str">
        <f t="shared" si="20"/>
        <v>F</v>
      </c>
      <c r="AY25" s="214" t="str">
        <f t="shared" si="20"/>
        <v>F</v>
      </c>
      <c r="AZ25" s="214" t="str">
        <f t="shared" si="20"/>
        <v>F</v>
      </c>
      <c r="BA25" s="214" t="str">
        <f t="shared" si="20"/>
        <v>F</v>
      </c>
      <c r="BB25" s="214" t="str">
        <f t="shared" si="20"/>
        <v>F</v>
      </c>
      <c r="BC25" s="214" t="str">
        <f t="shared" si="20"/>
        <v>F</v>
      </c>
      <c r="BD25" s="214" t="str">
        <f t="shared" si="20"/>
        <v>F</v>
      </c>
      <c r="BE25" s="215" t="str">
        <f t="shared" si="20"/>
        <v>F</v>
      </c>
      <c r="BF25" s="214" t="str">
        <f t="shared" si="20"/>
        <v>F</v>
      </c>
      <c r="BG25" s="214" t="str">
        <f t="shared" si="20"/>
        <v>F</v>
      </c>
      <c r="BH25" s="214" t="str">
        <f t="shared" si="20"/>
        <v>F</v>
      </c>
      <c r="BI25" s="214" t="str">
        <f t="shared" si="20"/>
        <v>F</v>
      </c>
      <c r="BJ25" s="214" t="str">
        <f t="shared" si="20"/>
        <v>F</v>
      </c>
      <c r="BK25" s="214" t="str">
        <f t="shared" si="20"/>
        <v>F</v>
      </c>
      <c r="BL25" s="214" t="str">
        <f t="shared" si="20"/>
        <v>F</v>
      </c>
      <c r="BM25" s="214" t="str">
        <f t="shared" si="20"/>
        <v>F</v>
      </c>
      <c r="BN25" s="214" t="str">
        <f t="shared" si="20"/>
        <v>F</v>
      </c>
      <c r="BO25" s="215" t="str">
        <f t="shared" si="20"/>
        <v>F</v>
      </c>
      <c r="BP25" s="214" t="str">
        <f t="shared" si="20"/>
        <v>F</v>
      </c>
      <c r="BQ25" s="214" t="str">
        <f t="shared" si="20"/>
        <v>F</v>
      </c>
      <c r="BR25" s="214" t="str">
        <f t="shared" si="20"/>
        <v>F</v>
      </c>
      <c r="BS25" s="214" t="str">
        <f t="shared" ref="BS25:DC37" si="21">IF(AND(BS$3&gt;=$E25,BS$3&lt;=$F25),"T","F")</f>
        <v>F</v>
      </c>
      <c r="BT25" s="214" t="str">
        <f t="shared" si="21"/>
        <v>F</v>
      </c>
      <c r="BU25" s="214" t="str">
        <f t="shared" si="21"/>
        <v>F</v>
      </c>
      <c r="BV25" s="214" t="str">
        <f t="shared" si="21"/>
        <v>F</v>
      </c>
      <c r="BW25" s="214" t="str">
        <f t="shared" si="21"/>
        <v>F</v>
      </c>
      <c r="BX25" s="214" t="str">
        <f t="shared" si="21"/>
        <v>F</v>
      </c>
      <c r="BY25" s="215" t="str">
        <f t="shared" si="21"/>
        <v>F</v>
      </c>
      <c r="BZ25" s="214" t="str">
        <f t="shared" si="21"/>
        <v>F</v>
      </c>
      <c r="CA25" s="214" t="str">
        <f t="shared" si="21"/>
        <v>F</v>
      </c>
      <c r="CB25" s="214" t="str">
        <f t="shared" si="21"/>
        <v>F</v>
      </c>
      <c r="CC25" s="214" t="str">
        <f t="shared" si="21"/>
        <v>F</v>
      </c>
      <c r="CD25" s="214" t="str">
        <f t="shared" si="21"/>
        <v>F</v>
      </c>
      <c r="CE25" s="214" t="str">
        <f t="shared" si="21"/>
        <v>F</v>
      </c>
      <c r="CF25" s="214" t="str">
        <f t="shared" si="21"/>
        <v>F</v>
      </c>
      <c r="CG25" s="214" t="str">
        <f t="shared" si="21"/>
        <v>F</v>
      </c>
      <c r="CH25" s="214" t="str">
        <f t="shared" si="21"/>
        <v>F</v>
      </c>
      <c r="CI25" s="215" t="str">
        <f t="shared" si="21"/>
        <v>F</v>
      </c>
      <c r="CJ25" s="214" t="str">
        <f t="shared" si="21"/>
        <v>F</v>
      </c>
      <c r="CK25" s="214" t="str">
        <f t="shared" si="21"/>
        <v>F</v>
      </c>
      <c r="CL25" s="214" t="str">
        <f t="shared" si="21"/>
        <v>F</v>
      </c>
      <c r="CM25" s="214" t="str">
        <f t="shared" si="21"/>
        <v>F</v>
      </c>
      <c r="CN25" s="214" t="str">
        <f t="shared" si="21"/>
        <v>F</v>
      </c>
      <c r="CO25" s="214" t="str">
        <f t="shared" si="21"/>
        <v>F</v>
      </c>
      <c r="CP25" s="214" t="str">
        <f t="shared" si="21"/>
        <v>F</v>
      </c>
      <c r="CQ25" s="214" t="str">
        <f t="shared" si="21"/>
        <v>F</v>
      </c>
      <c r="CR25" s="214" t="str">
        <f t="shared" si="21"/>
        <v>F</v>
      </c>
      <c r="CS25" s="215" t="str">
        <f t="shared" si="21"/>
        <v>F</v>
      </c>
      <c r="CT25" s="214" t="str">
        <f t="shared" si="21"/>
        <v>F</v>
      </c>
      <c r="CU25" s="214" t="str">
        <f t="shared" si="21"/>
        <v>F</v>
      </c>
      <c r="CV25" s="214" t="str">
        <f t="shared" si="21"/>
        <v>F</v>
      </c>
      <c r="CW25" s="214" t="str">
        <f t="shared" si="21"/>
        <v>F</v>
      </c>
      <c r="CX25" s="214" t="str">
        <f t="shared" si="21"/>
        <v>F</v>
      </c>
      <c r="CY25" s="214" t="str">
        <f t="shared" si="21"/>
        <v>F</v>
      </c>
      <c r="CZ25" s="214" t="str">
        <f t="shared" si="21"/>
        <v>F</v>
      </c>
      <c r="DA25" s="214" t="str">
        <f t="shared" si="21"/>
        <v>F</v>
      </c>
      <c r="DB25" s="214" t="str">
        <f t="shared" si="21"/>
        <v>F</v>
      </c>
      <c r="DC25" s="216" t="str">
        <f t="shared" si="21"/>
        <v>F</v>
      </c>
    </row>
    <row r="26" spans="2:111" x14ac:dyDescent="0.2">
      <c r="B26" s="211"/>
      <c r="C26" s="613"/>
      <c r="D26" s="212"/>
      <c r="E26" s="253"/>
      <c r="F26" s="213"/>
      <c r="G26" s="226"/>
      <c r="H26" s="227"/>
      <c r="I26" s="227"/>
      <c r="J26" s="227"/>
      <c r="K26" s="227"/>
      <c r="L26" s="227"/>
      <c r="M26" s="227"/>
      <c r="N26" s="227"/>
      <c r="O26" s="227"/>
      <c r="P26" s="227"/>
      <c r="Q26" s="228"/>
      <c r="R26" s="227"/>
      <c r="S26" s="227"/>
      <c r="T26" s="227"/>
      <c r="U26" s="227"/>
      <c r="V26" s="227"/>
      <c r="W26" s="227"/>
      <c r="X26" s="227"/>
      <c r="Y26" s="227"/>
      <c r="Z26" s="227"/>
      <c r="AA26" s="228"/>
      <c r="AB26" s="227"/>
      <c r="AC26" s="227"/>
      <c r="AD26" s="227"/>
      <c r="AE26" s="227"/>
      <c r="AF26" s="227"/>
      <c r="AG26" s="227"/>
      <c r="AH26" s="227"/>
      <c r="AI26" s="227"/>
      <c r="AJ26" s="227"/>
      <c r="AK26" s="228"/>
      <c r="AL26" s="227"/>
      <c r="AM26" s="227"/>
      <c r="AN26" s="227"/>
      <c r="AO26" s="227"/>
      <c r="AP26" s="227"/>
      <c r="AQ26" s="227"/>
      <c r="AR26" s="227"/>
      <c r="AS26" s="227"/>
      <c r="AT26" s="227"/>
      <c r="AU26" s="228"/>
      <c r="AV26" s="227"/>
      <c r="AW26" s="227"/>
      <c r="AX26" s="227"/>
      <c r="AY26" s="227"/>
      <c r="AZ26" s="227"/>
      <c r="BA26" s="227"/>
      <c r="BB26" s="227"/>
      <c r="BC26" s="227"/>
      <c r="BD26" s="227"/>
      <c r="BE26" s="228"/>
      <c r="BF26" s="227"/>
      <c r="BG26" s="227"/>
      <c r="BH26" s="227"/>
      <c r="BI26" s="227"/>
      <c r="BJ26" s="227"/>
      <c r="BK26" s="227"/>
      <c r="BL26" s="227"/>
      <c r="BM26" s="227"/>
      <c r="BN26" s="227"/>
      <c r="BO26" s="228"/>
      <c r="BP26" s="227"/>
      <c r="BQ26" s="227"/>
      <c r="BR26" s="227"/>
      <c r="BS26" s="227"/>
      <c r="BT26" s="227"/>
      <c r="BU26" s="227"/>
      <c r="BV26" s="227"/>
      <c r="BW26" s="227"/>
      <c r="BX26" s="227"/>
      <c r="BY26" s="228"/>
      <c r="BZ26" s="227"/>
      <c r="CA26" s="227"/>
      <c r="CB26" s="227"/>
      <c r="CC26" s="227"/>
      <c r="CD26" s="227"/>
      <c r="CE26" s="227"/>
      <c r="CF26" s="227"/>
      <c r="CG26" s="227"/>
      <c r="CH26" s="227"/>
      <c r="CI26" s="228"/>
      <c r="CJ26" s="227"/>
      <c r="CK26" s="227"/>
      <c r="CL26" s="227"/>
      <c r="CM26" s="227"/>
      <c r="CN26" s="227"/>
      <c r="CO26" s="227"/>
      <c r="CP26" s="227"/>
      <c r="CQ26" s="227"/>
      <c r="CR26" s="227"/>
      <c r="CS26" s="228"/>
      <c r="CT26" s="227"/>
      <c r="CU26" s="227"/>
      <c r="CV26" s="227"/>
      <c r="CW26" s="227"/>
      <c r="CX26" s="227"/>
      <c r="CY26" s="227"/>
      <c r="CZ26" s="227"/>
      <c r="DA26" s="227"/>
      <c r="DB26" s="227"/>
      <c r="DC26" s="229"/>
    </row>
    <row r="27" spans="2:111" x14ac:dyDescent="0.2">
      <c r="B27" s="211"/>
      <c r="C27" s="613"/>
      <c r="D27" s="212" t="str">
        <f>'Technology Matrix'!B18</f>
        <v>Aquaculture - Shellfish Cultivated Above Estuary Bed</v>
      </c>
      <c r="E27" s="253">
        <f>'Technology Matrix'!S18</f>
        <v>8</v>
      </c>
      <c r="F27" s="213">
        <f>'Technology Matrix'!T18</f>
        <v>15</v>
      </c>
      <c r="G27" s="215" t="str">
        <f t="shared" si="20"/>
        <v>F</v>
      </c>
      <c r="H27" s="214" t="str">
        <f t="shared" si="20"/>
        <v>F</v>
      </c>
      <c r="I27" s="214" t="str">
        <f t="shared" si="20"/>
        <v>F</v>
      </c>
      <c r="J27" s="214" t="str">
        <f t="shared" si="20"/>
        <v>F</v>
      </c>
      <c r="K27" s="214" t="str">
        <f t="shared" si="20"/>
        <v>F</v>
      </c>
      <c r="L27" s="214" t="str">
        <f t="shared" si="20"/>
        <v>F</v>
      </c>
      <c r="M27" s="214" t="str">
        <f t="shared" si="20"/>
        <v>F</v>
      </c>
      <c r="N27" s="214" t="str">
        <f t="shared" si="20"/>
        <v>F</v>
      </c>
      <c r="O27" s="214" t="str">
        <f t="shared" si="20"/>
        <v>T</v>
      </c>
      <c r="P27" s="214" t="str">
        <f t="shared" si="20"/>
        <v>T</v>
      </c>
      <c r="Q27" s="215" t="str">
        <f t="shared" si="20"/>
        <v>T</v>
      </c>
      <c r="R27" s="214" t="str">
        <f t="shared" si="20"/>
        <v>T</v>
      </c>
      <c r="S27" s="214" t="str">
        <f t="shared" si="20"/>
        <v>T</v>
      </c>
      <c r="T27" s="214" t="str">
        <f t="shared" si="20"/>
        <v>T</v>
      </c>
      <c r="U27" s="214" t="str">
        <f t="shared" si="20"/>
        <v>T</v>
      </c>
      <c r="V27" s="214" t="str">
        <f t="shared" si="20"/>
        <v>T</v>
      </c>
      <c r="W27" s="214" t="str">
        <f t="shared" si="20"/>
        <v>F</v>
      </c>
      <c r="X27" s="214" t="str">
        <f t="shared" si="20"/>
        <v>F</v>
      </c>
      <c r="Y27" s="214" t="str">
        <f t="shared" si="20"/>
        <v>F</v>
      </c>
      <c r="Z27" s="214" t="str">
        <f t="shared" si="20"/>
        <v>F</v>
      </c>
      <c r="AA27" s="215" t="str">
        <f t="shared" si="20"/>
        <v>F</v>
      </c>
      <c r="AB27" s="214" t="str">
        <f t="shared" si="20"/>
        <v>F</v>
      </c>
      <c r="AC27" s="214" t="str">
        <f t="shared" si="20"/>
        <v>F</v>
      </c>
      <c r="AD27" s="214" t="str">
        <f t="shared" si="20"/>
        <v>F</v>
      </c>
      <c r="AE27" s="214" t="str">
        <f t="shared" si="20"/>
        <v>F</v>
      </c>
      <c r="AF27" s="214" t="str">
        <f t="shared" si="20"/>
        <v>F</v>
      </c>
      <c r="AG27" s="214" t="str">
        <f t="shared" si="20"/>
        <v>F</v>
      </c>
      <c r="AH27" s="214" t="str">
        <f t="shared" si="20"/>
        <v>F</v>
      </c>
      <c r="AI27" s="214" t="str">
        <f t="shared" si="20"/>
        <v>F</v>
      </c>
      <c r="AJ27" s="214" t="str">
        <f t="shared" si="20"/>
        <v>F</v>
      </c>
      <c r="AK27" s="215" t="str">
        <f t="shared" si="20"/>
        <v>F</v>
      </c>
      <c r="AL27" s="214" t="str">
        <f t="shared" si="20"/>
        <v>F</v>
      </c>
      <c r="AM27" s="214" t="str">
        <f t="shared" si="20"/>
        <v>F</v>
      </c>
      <c r="AN27" s="214" t="str">
        <f t="shared" si="20"/>
        <v>F</v>
      </c>
      <c r="AO27" s="214" t="str">
        <f t="shared" si="20"/>
        <v>F</v>
      </c>
      <c r="AP27" s="214" t="str">
        <f t="shared" si="20"/>
        <v>F</v>
      </c>
      <c r="AQ27" s="214" t="str">
        <f t="shared" si="20"/>
        <v>F</v>
      </c>
      <c r="AR27" s="214" t="str">
        <f t="shared" si="20"/>
        <v>F</v>
      </c>
      <c r="AS27" s="214" t="str">
        <f t="shared" si="20"/>
        <v>F</v>
      </c>
      <c r="AT27" s="214" t="str">
        <f t="shared" si="20"/>
        <v>F</v>
      </c>
      <c r="AU27" s="215" t="str">
        <f t="shared" si="20"/>
        <v>F</v>
      </c>
      <c r="AV27" s="214" t="str">
        <f t="shared" si="20"/>
        <v>F</v>
      </c>
      <c r="AW27" s="214" t="str">
        <f t="shared" si="20"/>
        <v>F</v>
      </c>
      <c r="AX27" s="214" t="str">
        <f t="shared" si="20"/>
        <v>F</v>
      </c>
      <c r="AY27" s="214" t="str">
        <f t="shared" si="20"/>
        <v>F</v>
      </c>
      <c r="AZ27" s="214" t="str">
        <f t="shared" si="20"/>
        <v>F</v>
      </c>
      <c r="BA27" s="214" t="str">
        <f t="shared" si="20"/>
        <v>F</v>
      </c>
      <c r="BB27" s="214" t="str">
        <f t="shared" si="20"/>
        <v>F</v>
      </c>
      <c r="BC27" s="214" t="str">
        <f t="shared" si="20"/>
        <v>F</v>
      </c>
      <c r="BD27" s="214" t="str">
        <f t="shared" si="20"/>
        <v>F</v>
      </c>
      <c r="BE27" s="215" t="str">
        <f t="shared" si="20"/>
        <v>F</v>
      </c>
      <c r="BF27" s="214" t="str">
        <f t="shared" si="20"/>
        <v>F</v>
      </c>
      <c r="BG27" s="214" t="str">
        <f t="shared" si="20"/>
        <v>F</v>
      </c>
      <c r="BH27" s="214" t="str">
        <f t="shared" si="20"/>
        <v>F</v>
      </c>
      <c r="BI27" s="214" t="str">
        <f t="shared" si="20"/>
        <v>F</v>
      </c>
      <c r="BJ27" s="214" t="str">
        <f t="shared" si="20"/>
        <v>F</v>
      </c>
      <c r="BK27" s="214" t="str">
        <f t="shared" si="20"/>
        <v>F</v>
      </c>
      <c r="BL27" s="214" t="str">
        <f t="shared" si="20"/>
        <v>F</v>
      </c>
      <c r="BM27" s="214" t="str">
        <f t="shared" si="20"/>
        <v>F</v>
      </c>
      <c r="BN27" s="214" t="str">
        <f t="shared" si="20"/>
        <v>F</v>
      </c>
      <c r="BO27" s="215" t="str">
        <f t="shared" si="20"/>
        <v>F</v>
      </c>
      <c r="BP27" s="214" t="str">
        <f t="shared" si="20"/>
        <v>F</v>
      </c>
      <c r="BQ27" s="214" t="str">
        <f t="shared" si="20"/>
        <v>F</v>
      </c>
      <c r="BR27" s="214" t="str">
        <f t="shared" si="20"/>
        <v>F</v>
      </c>
      <c r="BS27" s="214" t="str">
        <f t="shared" si="21"/>
        <v>F</v>
      </c>
      <c r="BT27" s="214" t="str">
        <f t="shared" si="21"/>
        <v>F</v>
      </c>
      <c r="BU27" s="214" t="str">
        <f t="shared" si="21"/>
        <v>F</v>
      </c>
      <c r="BV27" s="214" t="str">
        <f t="shared" si="21"/>
        <v>F</v>
      </c>
      <c r="BW27" s="214" t="str">
        <f t="shared" si="21"/>
        <v>F</v>
      </c>
      <c r="BX27" s="214" t="str">
        <f t="shared" si="21"/>
        <v>F</v>
      </c>
      <c r="BY27" s="215" t="str">
        <f t="shared" si="21"/>
        <v>F</v>
      </c>
      <c r="BZ27" s="214" t="str">
        <f t="shared" si="21"/>
        <v>F</v>
      </c>
      <c r="CA27" s="214" t="str">
        <f t="shared" si="21"/>
        <v>F</v>
      </c>
      <c r="CB27" s="214" t="str">
        <f t="shared" si="21"/>
        <v>F</v>
      </c>
      <c r="CC27" s="214" t="str">
        <f t="shared" si="21"/>
        <v>F</v>
      </c>
      <c r="CD27" s="214" t="str">
        <f t="shared" si="21"/>
        <v>F</v>
      </c>
      <c r="CE27" s="214" t="str">
        <f t="shared" si="21"/>
        <v>F</v>
      </c>
      <c r="CF27" s="214" t="str">
        <f t="shared" si="21"/>
        <v>F</v>
      </c>
      <c r="CG27" s="214" t="str">
        <f t="shared" si="21"/>
        <v>F</v>
      </c>
      <c r="CH27" s="214" t="str">
        <f t="shared" si="21"/>
        <v>F</v>
      </c>
      <c r="CI27" s="215" t="str">
        <f t="shared" si="21"/>
        <v>F</v>
      </c>
      <c r="CJ27" s="214" t="str">
        <f t="shared" si="21"/>
        <v>F</v>
      </c>
      <c r="CK27" s="214" t="str">
        <f t="shared" si="21"/>
        <v>F</v>
      </c>
      <c r="CL27" s="214" t="str">
        <f t="shared" si="21"/>
        <v>F</v>
      </c>
      <c r="CM27" s="214" t="str">
        <f t="shared" si="21"/>
        <v>F</v>
      </c>
      <c r="CN27" s="214" t="str">
        <f t="shared" si="21"/>
        <v>F</v>
      </c>
      <c r="CO27" s="214" t="str">
        <f t="shared" si="21"/>
        <v>F</v>
      </c>
      <c r="CP27" s="214" t="str">
        <f t="shared" si="21"/>
        <v>F</v>
      </c>
      <c r="CQ27" s="214" t="str">
        <f t="shared" si="21"/>
        <v>F</v>
      </c>
      <c r="CR27" s="214" t="str">
        <f t="shared" si="21"/>
        <v>F</v>
      </c>
      <c r="CS27" s="215" t="str">
        <f t="shared" si="21"/>
        <v>F</v>
      </c>
      <c r="CT27" s="214" t="str">
        <f t="shared" si="21"/>
        <v>F</v>
      </c>
      <c r="CU27" s="214" t="str">
        <f t="shared" si="21"/>
        <v>F</v>
      </c>
      <c r="CV27" s="214" t="str">
        <f t="shared" si="21"/>
        <v>F</v>
      </c>
      <c r="CW27" s="214" t="str">
        <f t="shared" si="21"/>
        <v>F</v>
      </c>
      <c r="CX27" s="214" t="str">
        <f t="shared" si="21"/>
        <v>F</v>
      </c>
      <c r="CY27" s="214" t="str">
        <f t="shared" si="21"/>
        <v>F</v>
      </c>
      <c r="CZ27" s="214" t="str">
        <f t="shared" si="21"/>
        <v>F</v>
      </c>
      <c r="DA27" s="214" t="str">
        <f t="shared" si="21"/>
        <v>F</v>
      </c>
      <c r="DB27" s="214" t="str">
        <f t="shared" si="21"/>
        <v>F</v>
      </c>
      <c r="DC27" s="216" t="str">
        <f t="shared" si="21"/>
        <v>F</v>
      </c>
    </row>
    <row r="28" spans="2:111" x14ac:dyDescent="0.2">
      <c r="B28" s="211"/>
      <c r="C28" s="613"/>
      <c r="D28" s="212"/>
      <c r="E28" s="253"/>
      <c r="F28" s="213"/>
      <c r="G28" s="226"/>
      <c r="H28" s="227"/>
      <c r="I28" s="227"/>
      <c r="J28" s="227"/>
      <c r="K28" s="227"/>
      <c r="L28" s="227"/>
      <c r="M28" s="227"/>
      <c r="N28" s="227"/>
      <c r="O28" s="227"/>
      <c r="P28" s="227"/>
      <c r="Q28" s="228"/>
      <c r="R28" s="227"/>
      <c r="S28" s="227"/>
      <c r="T28" s="227"/>
      <c r="U28" s="227"/>
      <c r="V28" s="227"/>
      <c r="W28" s="227"/>
      <c r="X28" s="227"/>
      <c r="Y28" s="227"/>
      <c r="Z28" s="227"/>
      <c r="AA28" s="228"/>
      <c r="AB28" s="227"/>
      <c r="AC28" s="227"/>
      <c r="AD28" s="227"/>
      <c r="AE28" s="227"/>
      <c r="AF28" s="227"/>
      <c r="AG28" s="227"/>
      <c r="AH28" s="227"/>
      <c r="AI28" s="227"/>
      <c r="AJ28" s="227"/>
      <c r="AK28" s="228"/>
      <c r="AL28" s="227"/>
      <c r="AM28" s="227"/>
      <c r="AN28" s="227"/>
      <c r="AO28" s="227"/>
      <c r="AP28" s="227"/>
      <c r="AQ28" s="227"/>
      <c r="AR28" s="227"/>
      <c r="AS28" s="227"/>
      <c r="AT28" s="227"/>
      <c r="AU28" s="228"/>
      <c r="AV28" s="227"/>
      <c r="AW28" s="227"/>
      <c r="AX28" s="227"/>
      <c r="AY28" s="227"/>
      <c r="AZ28" s="227"/>
      <c r="BA28" s="227"/>
      <c r="BB28" s="227"/>
      <c r="BC28" s="227"/>
      <c r="BD28" s="227"/>
      <c r="BE28" s="228"/>
      <c r="BF28" s="227"/>
      <c r="BG28" s="227"/>
      <c r="BH28" s="227"/>
      <c r="BI28" s="227"/>
      <c r="BJ28" s="227"/>
      <c r="BK28" s="227"/>
      <c r="BL28" s="227"/>
      <c r="BM28" s="227"/>
      <c r="BN28" s="227"/>
      <c r="BO28" s="228"/>
      <c r="BP28" s="227"/>
      <c r="BQ28" s="227"/>
      <c r="BR28" s="227"/>
      <c r="BS28" s="227"/>
      <c r="BT28" s="227"/>
      <c r="BU28" s="227"/>
      <c r="BV28" s="227"/>
      <c r="BW28" s="227"/>
      <c r="BX28" s="227"/>
      <c r="BY28" s="228"/>
      <c r="BZ28" s="227"/>
      <c r="CA28" s="227"/>
      <c r="CB28" s="227"/>
      <c r="CC28" s="227"/>
      <c r="CD28" s="227"/>
      <c r="CE28" s="227"/>
      <c r="CF28" s="227"/>
      <c r="CG28" s="227"/>
      <c r="CH28" s="227"/>
      <c r="CI28" s="228"/>
      <c r="CJ28" s="227"/>
      <c r="CK28" s="227"/>
      <c r="CL28" s="227"/>
      <c r="CM28" s="227"/>
      <c r="CN28" s="227"/>
      <c r="CO28" s="227"/>
      <c r="CP28" s="227"/>
      <c r="CQ28" s="227"/>
      <c r="CR28" s="227"/>
      <c r="CS28" s="228"/>
      <c r="CT28" s="227"/>
      <c r="CU28" s="227"/>
      <c r="CV28" s="227"/>
      <c r="CW28" s="227"/>
      <c r="CX28" s="227"/>
      <c r="CY28" s="227"/>
      <c r="CZ28" s="227"/>
      <c r="DA28" s="227"/>
      <c r="DB28" s="227"/>
      <c r="DC28" s="229"/>
    </row>
    <row r="29" spans="2:111" x14ac:dyDescent="0.2">
      <c r="B29" s="211"/>
      <c r="C29" s="613"/>
      <c r="D29" s="212" t="str">
        <f>'Technology Matrix'!B19</f>
        <v>Aquaculture - Mariculture</v>
      </c>
      <c r="E29" s="253">
        <f>'Technology Matrix'!S19</f>
        <v>8</v>
      </c>
      <c r="F29" s="213">
        <f>'Technology Matrix'!T19</f>
        <v>15</v>
      </c>
      <c r="G29" s="215" t="str">
        <f t="shared" si="20"/>
        <v>F</v>
      </c>
      <c r="H29" s="214" t="str">
        <f t="shared" si="20"/>
        <v>F</v>
      </c>
      <c r="I29" s="214" t="str">
        <f t="shared" si="20"/>
        <v>F</v>
      </c>
      <c r="J29" s="214" t="str">
        <f t="shared" si="20"/>
        <v>F</v>
      </c>
      <c r="K29" s="214" t="str">
        <f t="shared" si="20"/>
        <v>F</v>
      </c>
      <c r="L29" s="214" t="str">
        <f t="shared" si="20"/>
        <v>F</v>
      </c>
      <c r="M29" s="214" t="str">
        <f t="shared" si="20"/>
        <v>F</v>
      </c>
      <c r="N29" s="214" t="str">
        <f t="shared" si="20"/>
        <v>F</v>
      </c>
      <c r="O29" s="214" t="str">
        <f t="shared" si="20"/>
        <v>T</v>
      </c>
      <c r="P29" s="214" t="str">
        <f t="shared" si="20"/>
        <v>T</v>
      </c>
      <c r="Q29" s="215" t="str">
        <f t="shared" si="20"/>
        <v>T</v>
      </c>
      <c r="R29" s="214" t="str">
        <f t="shared" si="20"/>
        <v>T</v>
      </c>
      <c r="S29" s="214" t="str">
        <f t="shared" si="20"/>
        <v>T</v>
      </c>
      <c r="T29" s="214" t="str">
        <f t="shared" si="20"/>
        <v>T</v>
      </c>
      <c r="U29" s="214" t="str">
        <f t="shared" si="20"/>
        <v>T</v>
      </c>
      <c r="V29" s="214" t="str">
        <f t="shared" si="20"/>
        <v>T</v>
      </c>
      <c r="W29" s="214" t="str">
        <f t="shared" si="20"/>
        <v>F</v>
      </c>
      <c r="X29" s="214" t="str">
        <f t="shared" si="20"/>
        <v>F</v>
      </c>
      <c r="Y29" s="214" t="str">
        <f t="shared" si="20"/>
        <v>F</v>
      </c>
      <c r="Z29" s="214" t="str">
        <f t="shared" si="20"/>
        <v>F</v>
      </c>
      <c r="AA29" s="215" t="str">
        <f t="shared" si="20"/>
        <v>F</v>
      </c>
      <c r="AB29" s="214" t="str">
        <f t="shared" si="20"/>
        <v>F</v>
      </c>
      <c r="AC29" s="214" t="str">
        <f t="shared" si="20"/>
        <v>F</v>
      </c>
      <c r="AD29" s="214" t="str">
        <f t="shared" si="20"/>
        <v>F</v>
      </c>
      <c r="AE29" s="214" t="str">
        <f t="shared" si="20"/>
        <v>F</v>
      </c>
      <c r="AF29" s="214" t="str">
        <f t="shared" si="20"/>
        <v>F</v>
      </c>
      <c r="AG29" s="214" t="str">
        <f t="shared" si="20"/>
        <v>F</v>
      </c>
      <c r="AH29" s="214" t="str">
        <f t="shared" si="20"/>
        <v>F</v>
      </c>
      <c r="AI29" s="214" t="str">
        <f t="shared" si="20"/>
        <v>F</v>
      </c>
      <c r="AJ29" s="214" t="str">
        <f t="shared" si="20"/>
        <v>F</v>
      </c>
      <c r="AK29" s="215" t="str">
        <f t="shared" si="20"/>
        <v>F</v>
      </c>
      <c r="AL29" s="214" t="str">
        <f t="shared" si="20"/>
        <v>F</v>
      </c>
      <c r="AM29" s="214" t="str">
        <f t="shared" si="20"/>
        <v>F</v>
      </c>
      <c r="AN29" s="214" t="str">
        <f t="shared" si="20"/>
        <v>F</v>
      </c>
      <c r="AO29" s="214" t="str">
        <f t="shared" si="20"/>
        <v>F</v>
      </c>
      <c r="AP29" s="214" t="str">
        <f t="shared" si="20"/>
        <v>F</v>
      </c>
      <c r="AQ29" s="214" t="str">
        <f t="shared" si="20"/>
        <v>F</v>
      </c>
      <c r="AR29" s="214" t="str">
        <f t="shared" si="20"/>
        <v>F</v>
      </c>
      <c r="AS29" s="214" t="str">
        <f t="shared" si="20"/>
        <v>F</v>
      </c>
      <c r="AT29" s="214" t="str">
        <f t="shared" si="20"/>
        <v>F</v>
      </c>
      <c r="AU29" s="215" t="str">
        <f t="shared" si="20"/>
        <v>F</v>
      </c>
      <c r="AV29" s="214" t="str">
        <f t="shared" si="20"/>
        <v>F</v>
      </c>
      <c r="AW29" s="214" t="str">
        <f t="shared" si="20"/>
        <v>F</v>
      </c>
      <c r="AX29" s="214" t="str">
        <f t="shared" si="20"/>
        <v>F</v>
      </c>
      <c r="AY29" s="214" t="str">
        <f t="shared" si="20"/>
        <v>F</v>
      </c>
      <c r="AZ29" s="214" t="str">
        <f t="shared" si="20"/>
        <v>F</v>
      </c>
      <c r="BA29" s="214" t="str">
        <f t="shared" si="20"/>
        <v>F</v>
      </c>
      <c r="BB29" s="214" t="str">
        <f t="shared" si="20"/>
        <v>F</v>
      </c>
      <c r="BC29" s="214" t="str">
        <f t="shared" si="20"/>
        <v>F</v>
      </c>
      <c r="BD29" s="214" t="str">
        <f t="shared" si="20"/>
        <v>F</v>
      </c>
      <c r="BE29" s="215" t="str">
        <f t="shared" si="20"/>
        <v>F</v>
      </c>
      <c r="BF29" s="214" t="str">
        <f t="shared" si="20"/>
        <v>F</v>
      </c>
      <c r="BG29" s="214" t="str">
        <f t="shared" si="20"/>
        <v>F</v>
      </c>
      <c r="BH29" s="214" t="str">
        <f t="shared" si="20"/>
        <v>F</v>
      </c>
      <c r="BI29" s="214" t="str">
        <f t="shared" si="20"/>
        <v>F</v>
      </c>
      <c r="BJ29" s="214" t="str">
        <f t="shared" si="20"/>
        <v>F</v>
      </c>
      <c r="BK29" s="214" t="str">
        <f t="shared" si="20"/>
        <v>F</v>
      </c>
      <c r="BL29" s="214" t="str">
        <f t="shared" si="20"/>
        <v>F</v>
      </c>
      <c r="BM29" s="214" t="str">
        <f t="shared" si="20"/>
        <v>F</v>
      </c>
      <c r="BN29" s="214" t="str">
        <f t="shared" si="20"/>
        <v>F</v>
      </c>
      <c r="BO29" s="215" t="str">
        <f t="shared" si="20"/>
        <v>F</v>
      </c>
      <c r="BP29" s="214" t="str">
        <f t="shared" si="20"/>
        <v>F</v>
      </c>
      <c r="BQ29" s="214" t="str">
        <f t="shared" si="20"/>
        <v>F</v>
      </c>
      <c r="BR29" s="214" t="str">
        <f t="shared" si="20"/>
        <v>F</v>
      </c>
      <c r="BS29" s="214" t="str">
        <f t="shared" si="21"/>
        <v>F</v>
      </c>
      <c r="BT29" s="214" t="str">
        <f t="shared" si="21"/>
        <v>F</v>
      </c>
      <c r="BU29" s="214" t="str">
        <f t="shared" si="21"/>
        <v>F</v>
      </c>
      <c r="BV29" s="214" t="str">
        <f t="shared" si="21"/>
        <v>F</v>
      </c>
      <c r="BW29" s="214" t="str">
        <f t="shared" si="21"/>
        <v>F</v>
      </c>
      <c r="BX29" s="214" t="str">
        <f t="shared" si="21"/>
        <v>F</v>
      </c>
      <c r="BY29" s="215" t="str">
        <f t="shared" si="21"/>
        <v>F</v>
      </c>
      <c r="BZ29" s="214" t="str">
        <f t="shared" si="21"/>
        <v>F</v>
      </c>
      <c r="CA29" s="214" t="str">
        <f t="shared" si="21"/>
        <v>F</v>
      </c>
      <c r="CB29" s="214" t="str">
        <f t="shared" si="21"/>
        <v>F</v>
      </c>
      <c r="CC29" s="214" t="str">
        <f t="shared" si="21"/>
        <v>F</v>
      </c>
      <c r="CD29" s="214" t="str">
        <f t="shared" si="21"/>
        <v>F</v>
      </c>
      <c r="CE29" s="214" t="str">
        <f t="shared" si="21"/>
        <v>F</v>
      </c>
      <c r="CF29" s="214" t="str">
        <f t="shared" si="21"/>
        <v>F</v>
      </c>
      <c r="CG29" s="214" t="str">
        <f t="shared" si="21"/>
        <v>F</v>
      </c>
      <c r="CH29" s="214" t="str">
        <f t="shared" si="21"/>
        <v>F</v>
      </c>
      <c r="CI29" s="215" t="str">
        <f t="shared" si="21"/>
        <v>F</v>
      </c>
      <c r="CJ29" s="214" t="str">
        <f t="shared" si="21"/>
        <v>F</v>
      </c>
      <c r="CK29" s="214" t="str">
        <f t="shared" si="21"/>
        <v>F</v>
      </c>
      <c r="CL29" s="214" t="str">
        <f t="shared" si="21"/>
        <v>F</v>
      </c>
      <c r="CM29" s="214" t="str">
        <f t="shared" si="21"/>
        <v>F</v>
      </c>
      <c r="CN29" s="214" t="str">
        <f t="shared" si="21"/>
        <v>F</v>
      </c>
      <c r="CO29" s="214" t="str">
        <f t="shared" si="21"/>
        <v>F</v>
      </c>
      <c r="CP29" s="214" t="str">
        <f t="shared" si="21"/>
        <v>F</v>
      </c>
      <c r="CQ29" s="214" t="str">
        <f t="shared" si="21"/>
        <v>F</v>
      </c>
      <c r="CR29" s="214" t="str">
        <f t="shared" si="21"/>
        <v>F</v>
      </c>
      <c r="CS29" s="215" t="str">
        <f t="shared" si="21"/>
        <v>F</v>
      </c>
      <c r="CT29" s="214" t="str">
        <f t="shared" si="21"/>
        <v>F</v>
      </c>
      <c r="CU29" s="214" t="str">
        <f t="shared" si="21"/>
        <v>F</v>
      </c>
      <c r="CV29" s="214" t="str">
        <f t="shared" si="21"/>
        <v>F</v>
      </c>
      <c r="CW29" s="214" t="str">
        <f t="shared" si="21"/>
        <v>F</v>
      </c>
      <c r="CX29" s="214" t="str">
        <f t="shared" si="21"/>
        <v>F</v>
      </c>
      <c r="CY29" s="214" t="str">
        <f t="shared" si="21"/>
        <v>F</v>
      </c>
      <c r="CZ29" s="214" t="str">
        <f t="shared" si="21"/>
        <v>F</v>
      </c>
      <c r="DA29" s="214" t="str">
        <f t="shared" si="21"/>
        <v>F</v>
      </c>
      <c r="DB29" s="214" t="str">
        <f t="shared" si="21"/>
        <v>F</v>
      </c>
      <c r="DC29" s="216" t="str">
        <f t="shared" si="21"/>
        <v>F</v>
      </c>
    </row>
    <row r="30" spans="2:111" x14ac:dyDescent="0.2">
      <c r="B30" s="211"/>
      <c r="C30" s="613"/>
      <c r="D30" s="212"/>
      <c r="E30" s="253"/>
      <c r="F30" s="213"/>
      <c r="G30" s="226"/>
      <c r="H30" s="227"/>
      <c r="I30" s="227"/>
      <c r="J30" s="227"/>
      <c r="K30" s="227"/>
      <c r="L30" s="227"/>
      <c r="M30" s="227"/>
      <c r="N30" s="227"/>
      <c r="O30" s="227"/>
      <c r="P30" s="227"/>
      <c r="Q30" s="228"/>
      <c r="R30" s="227"/>
      <c r="S30" s="227"/>
      <c r="T30" s="227"/>
      <c r="U30" s="227"/>
      <c r="V30" s="227"/>
      <c r="W30" s="227"/>
      <c r="X30" s="227"/>
      <c r="Y30" s="227"/>
      <c r="Z30" s="227"/>
      <c r="AA30" s="228"/>
      <c r="AB30" s="227"/>
      <c r="AC30" s="227"/>
      <c r="AD30" s="227"/>
      <c r="AE30" s="227"/>
      <c r="AF30" s="227"/>
      <c r="AG30" s="227"/>
      <c r="AH30" s="227"/>
      <c r="AI30" s="227"/>
      <c r="AJ30" s="227"/>
      <c r="AK30" s="228"/>
      <c r="AL30" s="227"/>
      <c r="AM30" s="227"/>
      <c r="AN30" s="227"/>
      <c r="AO30" s="227"/>
      <c r="AP30" s="227"/>
      <c r="AQ30" s="227"/>
      <c r="AR30" s="227"/>
      <c r="AS30" s="227"/>
      <c r="AT30" s="227"/>
      <c r="AU30" s="228"/>
      <c r="AV30" s="227"/>
      <c r="AW30" s="227"/>
      <c r="AX30" s="227"/>
      <c r="AY30" s="227"/>
      <c r="AZ30" s="227"/>
      <c r="BA30" s="227"/>
      <c r="BB30" s="227"/>
      <c r="BC30" s="227"/>
      <c r="BD30" s="227"/>
      <c r="BE30" s="228"/>
      <c r="BF30" s="227"/>
      <c r="BG30" s="227"/>
      <c r="BH30" s="227"/>
      <c r="BI30" s="227"/>
      <c r="BJ30" s="227"/>
      <c r="BK30" s="227"/>
      <c r="BL30" s="227"/>
      <c r="BM30" s="227"/>
      <c r="BN30" s="227"/>
      <c r="BO30" s="228"/>
      <c r="BP30" s="227"/>
      <c r="BQ30" s="227"/>
      <c r="BR30" s="227"/>
      <c r="BS30" s="227"/>
      <c r="BT30" s="227"/>
      <c r="BU30" s="227"/>
      <c r="BV30" s="227"/>
      <c r="BW30" s="227"/>
      <c r="BX30" s="227"/>
      <c r="BY30" s="228"/>
      <c r="BZ30" s="227"/>
      <c r="CA30" s="227"/>
      <c r="CB30" s="227"/>
      <c r="CC30" s="227"/>
      <c r="CD30" s="227"/>
      <c r="CE30" s="227"/>
      <c r="CF30" s="227"/>
      <c r="CG30" s="227"/>
      <c r="CH30" s="227"/>
      <c r="CI30" s="228"/>
      <c r="CJ30" s="227"/>
      <c r="CK30" s="227"/>
      <c r="CL30" s="227"/>
      <c r="CM30" s="227"/>
      <c r="CN30" s="227"/>
      <c r="CO30" s="227"/>
      <c r="CP30" s="227"/>
      <c r="CQ30" s="227"/>
      <c r="CR30" s="227"/>
      <c r="CS30" s="228"/>
      <c r="CT30" s="227"/>
      <c r="CU30" s="227"/>
      <c r="CV30" s="227"/>
      <c r="CW30" s="227"/>
      <c r="CX30" s="227"/>
      <c r="CY30" s="227"/>
      <c r="CZ30" s="227"/>
      <c r="DA30" s="227"/>
      <c r="DB30" s="227"/>
      <c r="DC30" s="229"/>
    </row>
    <row r="31" spans="2:111" x14ac:dyDescent="0.2">
      <c r="B31" s="211"/>
      <c r="C31" s="613"/>
      <c r="D31" s="212" t="str">
        <f>'Technology Matrix'!B20</f>
        <v>Phytoremediation</v>
      </c>
      <c r="E31" s="253">
        <f>'Technology Matrix'!S20</f>
        <v>50</v>
      </c>
      <c r="F31" s="213">
        <f>'Technology Matrix'!T20</f>
        <v>90</v>
      </c>
      <c r="G31" s="215" t="str">
        <f t="shared" si="20"/>
        <v>F</v>
      </c>
      <c r="H31" s="214" t="str">
        <f t="shared" si="20"/>
        <v>F</v>
      </c>
      <c r="I31" s="214" t="str">
        <f t="shared" si="20"/>
        <v>F</v>
      </c>
      <c r="J31" s="214" t="str">
        <f t="shared" si="20"/>
        <v>F</v>
      </c>
      <c r="K31" s="214" t="str">
        <f t="shared" si="20"/>
        <v>F</v>
      </c>
      <c r="L31" s="214" t="str">
        <f t="shared" si="20"/>
        <v>F</v>
      </c>
      <c r="M31" s="214" t="str">
        <f t="shared" si="20"/>
        <v>F</v>
      </c>
      <c r="N31" s="214" t="str">
        <f t="shared" si="20"/>
        <v>F</v>
      </c>
      <c r="O31" s="214" t="str">
        <f t="shared" si="20"/>
        <v>F</v>
      </c>
      <c r="P31" s="214" t="str">
        <f t="shared" si="20"/>
        <v>F</v>
      </c>
      <c r="Q31" s="215" t="str">
        <f t="shared" si="20"/>
        <v>F</v>
      </c>
      <c r="R31" s="214" t="str">
        <f t="shared" si="20"/>
        <v>F</v>
      </c>
      <c r="S31" s="214" t="str">
        <f t="shared" si="20"/>
        <v>F</v>
      </c>
      <c r="T31" s="214" t="str">
        <f t="shared" si="20"/>
        <v>F</v>
      </c>
      <c r="U31" s="214" t="str">
        <f t="shared" si="20"/>
        <v>F</v>
      </c>
      <c r="V31" s="214" t="str">
        <f t="shared" si="20"/>
        <v>F</v>
      </c>
      <c r="W31" s="214" t="str">
        <f t="shared" si="20"/>
        <v>F</v>
      </c>
      <c r="X31" s="214" t="str">
        <f t="shared" si="20"/>
        <v>F</v>
      </c>
      <c r="Y31" s="214" t="str">
        <f t="shared" si="20"/>
        <v>F</v>
      </c>
      <c r="Z31" s="214" t="str">
        <f t="shared" si="20"/>
        <v>F</v>
      </c>
      <c r="AA31" s="215" t="str">
        <f t="shared" si="20"/>
        <v>F</v>
      </c>
      <c r="AB31" s="214" t="str">
        <f t="shared" si="20"/>
        <v>F</v>
      </c>
      <c r="AC31" s="214" t="str">
        <f t="shared" si="20"/>
        <v>F</v>
      </c>
      <c r="AD31" s="214" t="str">
        <f t="shared" si="20"/>
        <v>F</v>
      </c>
      <c r="AE31" s="214" t="str">
        <f t="shared" si="20"/>
        <v>F</v>
      </c>
      <c r="AF31" s="214" t="str">
        <f t="shared" si="20"/>
        <v>F</v>
      </c>
      <c r="AG31" s="214" t="str">
        <f t="shared" si="20"/>
        <v>F</v>
      </c>
      <c r="AH31" s="214" t="str">
        <f t="shared" si="20"/>
        <v>F</v>
      </c>
      <c r="AI31" s="214" t="str">
        <f t="shared" si="20"/>
        <v>F</v>
      </c>
      <c r="AJ31" s="214" t="str">
        <f t="shared" si="20"/>
        <v>F</v>
      </c>
      <c r="AK31" s="215" t="str">
        <f t="shared" si="20"/>
        <v>F</v>
      </c>
      <c r="AL31" s="214" t="str">
        <f t="shared" si="20"/>
        <v>F</v>
      </c>
      <c r="AM31" s="214" t="str">
        <f t="shared" si="20"/>
        <v>F</v>
      </c>
      <c r="AN31" s="214" t="str">
        <f t="shared" si="20"/>
        <v>F</v>
      </c>
      <c r="AO31" s="214" t="str">
        <f t="shared" si="20"/>
        <v>F</v>
      </c>
      <c r="AP31" s="214" t="str">
        <f t="shared" si="20"/>
        <v>F</v>
      </c>
      <c r="AQ31" s="214" t="str">
        <f t="shared" si="20"/>
        <v>F</v>
      </c>
      <c r="AR31" s="214" t="str">
        <f t="shared" si="20"/>
        <v>F</v>
      </c>
      <c r="AS31" s="214" t="str">
        <f t="shared" si="20"/>
        <v>F</v>
      </c>
      <c r="AT31" s="214" t="str">
        <f t="shared" si="20"/>
        <v>F</v>
      </c>
      <c r="AU31" s="215" t="str">
        <f t="shared" si="20"/>
        <v>F</v>
      </c>
      <c r="AV31" s="214" t="str">
        <f t="shared" si="20"/>
        <v>F</v>
      </c>
      <c r="AW31" s="214" t="str">
        <f t="shared" si="20"/>
        <v>F</v>
      </c>
      <c r="AX31" s="214" t="str">
        <f t="shared" si="20"/>
        <v>F</v>
      </c>
      <c r="AY31" s="214" t="str">
        <f t="shared" si="20"/>
        <v>F</v>
      </c>
      <c r="AZ31" s="214" t="str">
        <f t="shared" si="20"/>
        <v>F</v>
      </c>
      <c r="BA31" s="214" t="str">
        <f t="shared" si="20"/>
        <v>F</v>
      </c>
      <c r="BB31" s="214" t="str">
        <f t="shared" si="20"/>
        <v>F</v>
      </c>
      <c r="BC31" s="214" t="str">
        <f t="shared" si="20"/>
        <v>F</v>
      </c>
      <c r="BD31" s="214" t="str">
        <f t="shared" si="20"/>
        <v>F</v>
      </c>
      <c r="BE31" s="215" t="str">
        <f t="shared" si="20"/>
        <v>T</v>
      </c>
      <c r="BF31" s="214" t="str">
        <f t="shared" si="20"/>
        <v>T</v>
      </c>
      <c r="BG31" s="214" t="str">
        <f t="shared" si="20"/>
        <v>T</v>
      </c>
      <c r="BH31" s="214" t="str">
        <f t="shared" si="20"/>
        <v>T</v>
      </c>
      <c r="BI31" s="214" t="str">
        <f t="shared" si="20"/>
        <v>T</v>
      </c>
      <c r="BJ31" s="214" t="str">
        <f t="shared" si="20"/>
        <v>T</v>
      </c>
      <c r="BK31" s="214" t="str">
        <f t="shared" si="20"/>
        <v>T</v>
      </c>
      <c r="BL31" s="214" t="str">
        <f t="shared" si="20"/>
        <v>T</v>
      </c>
      <c r="BM31" s="214" t="str">
        <f t="shared" si="20"/>
        <v>T</v>
      </c>
      <c r="BN31" s="214" t="str">
        <f t="shared" si="20"/>
        <v>T</v>
      </c>
      <c r="BO31" s="215" t="str">
        <f t="shared" ref="BO31:BR31" si="22">IF(AND(BO$3&gt;=$E31,BO$3&lt;=$F31),"T","F")</f>
        <v>T</v>
      </c>
      <c r="BP31" s="214" t="str">
        <f t="shared" si="22"/>
        <v>T</v>
      </c>
      <c r="BQ31" s="214" t="str">
        <f t="shared" si="22"/>
        <v>T</v>
      </c>
      <c r="BR31" s="214" t="str">
        <f t="shared" si="22"/>
        <v>T</v>
      </c>
      <c r="BS31" s="214" t="str">
        <f t="shared" si="21"/>
        <v>T</v>
      </c>
      <c r="BT31" s="214" t="str">
        <f t="shared" si="21"/>
        <v>T</v>
      </c>
      <c r="BU31" s="214" t="str">
        <f t="shared" si="21"/>
        <v>T</v>
      </c>
      <c r="BV31" s="214" t="str">
        <f t="shared" si="21"/>
        <v>T</v>
      </c>
      <c r="BW31" s="214" t="str">
        <f t="shared" si="21"/>
        <v>T</v>
      </c>
      <c r="BX31" s="214" t="str">
        <f t="shared" si="21"/>
        <v>T</v>
      </c>
      <c r="BY31" s="215" t="str">
        <f t="shared" si="21"/>
        <v>T</v>
      </c>
      <c r="BZ31" s="214" t="str">
        <f t="shared" si="21"/>
        <v>T</v>
      </c>
      <c r="CA31" s="214" t="str">
        <f t="shared" si="21"/>
        <v>T</v>
      </c>
      <c r="CB31" s="214" t="str">
        <f t="shared" si="21"/>
        <v>T</v>
      </c>
      <c r="CC31" s="214" t="str">
        <f t="shared" si="21"/>
        <v>T</v>
      </c>
      <c r="CD31" s="214" t="str">
        <f t="shared" si="21"/>
        <v>T</v>
      </c>
      <c r="CE31" s="214" t="str">
        <f t="shared" si="21"/>
        <v>T</v>
      </c>
      <c r="CF31" s="214" t="str">
        <f t="shared" si="21"/>
        <v>T</v>
      </c>
      <c r="CG31" s="214" t="str">
        <f t="shared" si="21"/>
        <v>T</v>
      </c>
      <c r="CH31" s="214" t="str">
        <f t="shared" si="21"/>
        <v>T</v>
      </c>
      <c r="CI31" s="215" t="str">
        <f t="shared" si="21"/>
        <v>T</v>
      </c>
      <c r="CJ31" s="214" t="str">
        <f t="shared" si="21"/>
        <v>T</v>
      </c>
      <c r="CK31" s="214" t="str">
        <f t="shared" si="21"/>
        <v>T</v>
      </c>
      <c r="CL31" s="214" t="str">
        <f t="shared" si="21"/>
        <v>T</v>
      </c>
      <c r="CM31" s="214" t="str">
        <f t="shared" si="21"/>
        <v>T</v>
      </c>
      <c r="CN31" s="214" t="str">
        <f t="shared" si="21"/>
        <v>T</v>
      </c>
      <c r="CO31" s="214" t="str">
        <f t="shared" si="21"/>
        <v>T</v>
      </c>
      <c r="CP31" s="214" t="str">
        <f t="shared" si="21"/>
        <v>T</v>
      </c>
      <c r="CQ31" s="214" t="str">
        <f t="shared" si="21"/>
        <v>T</v>
      </c>
      <c r="CR31" s="214" t="str">
        <f t="shared" si="21"/>
        <v>T</v>
      </c>
      <c r="CS31" s="215" t="str">
        <f t="shared" si="21"/>
        <v>T</v>
      </c>
      <c r="CT31" s="214" t="str">
        <f t="shared" si="21"/>
        <v>F</v>
      </c>
      <c r="CU31" s="214" t="str">
        <f t="shared" si="21"/>
        <v>F</v>
      </c>
      <c r="CV31" s="214" t="str">
        <f t="shared" si="21"/>
        <v>F</v>
      </c>
      <c r="CW31" s="214" t="str">
        <f t="shared" si="21"/>
        <v>F</v>
      </c>
      <c r="CX31" s="214" t="str">
        <f t="shared" si="21"/>
        <v>F</v>
      </c>
      <c r="CY31" s="214" t="str">
        <f t="shared" si="21"/>
        <v>F</v>
      </c>
      <c r="CZ31" s="214" t="str">
        <f t="shared" si="21"/>
        <v>F</v>
      </c>
      <c r="DA31" s="214" t="str">
        <f t="shared" si="21"/>
        <v>F</v>
      </c>
      <c r="DB31" s="214" t="str">
        <f t="shared" si="21"/>
        <v>F</v>
      </c>
      <c r="DC31" s="216" t="str">
        <f t="shared" si="21"/>
        <v>F</v>
      </c>
    </row>
    <row r="32" spans="2:111" x14ac:dyDescent="0.2">
      <c r="B32" s="211"/>
      <c r="C32" s="613"/>
      <c r="D32" s="212"/>
      <c r="E32" s="253"/>
      <c r="F32" s="213"/>
      <c r="G32" s="226"/>
      <c r="H32" s="227"/>
      <c r="I32" s="227"/>
      <c r="J32" s="227"/>
      <c r="K32" s="227"/>
      <c r="L32" s="227"/>
      <c r="M32" s="227"/>
      <c r="N32" s="227"/>
      <c r="O32" s="227"/>
      <c r="P32" s="227"/>
      <c r="Q32" s="228"/>
      <c r="R32" s="227"/>
      <c r="S32" s="227"/>
      <c r="T32" s="227"/>
      <c r="U32" s="227"/>
      <c r="V32" s="227"/>
      <c r="W32" s="227"/>
      <c r="X32" s="227"/>
      <c r="Y32" s="227"/>
      <c r="Z32" s="227"/>
      <c r="AA32" s="228"/>
      <c r="AB32" s="227"/>
      <c r="AC32" s="227"/>
      <c r="AD32" s="227"/>
      <c r="AE32" s="227"/>
      <c r="AF32" s="227"/>
      <c r="AG32" s="227"/>
      <c r="AH32" s="227"/>
      <c r="AI32" s="227"/>
      <c r="AJ32" s="227"/>
      <c r="AK32" s="228"/>
      <c r="AL32" s="227"/>
      <c r="AM32" s="227"/>
      <c r="AN32" s="227"/>
      <c r="AO32" s="227"/>
      <c r="AP32" s="227"/>
      <c r="AQ32" s="227"/>
      <c r="AR32" s="227"/>
      <c r="AS32" s="227"/>
      <c r="AT32" s="227"/>
      <c r="AU32" s="228"/>
      <c r="AV32" s="227"/>
      <c r="AW32" s="227"/>
      <c r="AX32" s="227"/>
      <c r="AY32" s="227"/>
      <c r="AZ32" s="227"/>
      <c r="BA32" s="227"/>
      <c r="BB32" s="227"/>
      <c r="BC32" s="227"/>
      <c r="BD32" s="227"/>
      <c r="BE32" s="228"/>
      <c r="BF32" s="227"/>
      <c r="BG32" s="227"/>
      <c r="BH32" s="227"/>
      <c r="BI32" s="227"/>
      <c r="BJ32" s="227"/>
      <c r="BK32" s="227"/>
      <c r="BL32" s="227"/>
      <c r="BM32" s="227"/>
      <c r="BN32" s="227"/>
      <c r="BO32" s="228"/>
      <c r="BP32" s="227"/>
      <c r="BQ32" s="227"/>
      <c r="BR32" s="227"/>
      <c r="BS32" s="227"/>
      <c r="BT32" s="227"/>
      <c r="BU32" s="227"/>
      <c r="BV32" s="227"/>
      <c r="BW32" s="227"/>
      <c r="BX32" s="227"/>
      <c r="BY32" s="228"/>
      <c r="BZ32" s="227"/>
      <c r="CA32" s="227"/>
      <c r="CB32" s="227"/>
      <c r="CC32" s="227"/>
      <c r="CD32" s="227"/>
      <c r="CE32" s="227"/>
      <c r="CF32" s="227"/>
      <c r="CG32" s="227"/>
      <c r="CH32" s="227"/>
      <c r="CI32" s="228"/>
      <c r="CJ32" s="227"/>
      <c r="CK32" s="227"/>
      <c r="CL32" s="227"/>
      <c r="CM32" s="227"/>
      <c r="CN32" s="227"/>
      <c r="CO32" s="227"/>
      <c r="CP32" s="227"/>
      <c r="CQ32" s="227"/>
      <c r="CR32" s="227"/>
      <c r="CS32" s="228"/>
      <c r="CT32" s="227"/>
      <c r="CU32" s="227"/>
      <c r="CV32" s="227"/>
      <c r="CW32" s="227"/>
      <c r="CX32" s="227"/>
      <c r="CY32" s="227"/>
      <c r="CZ32" s="227"/>
      <c r="DA32" s="227"/>
      <c r="DB32" s="227"/>
      <c r="DC32" s="229"/>
    </row>
    <row r="33" spans="2:111" ht="36" x14ac:dyDescent="0.2">
      <c r="B33" s="211"/>
      <c r="C33" s="613"/>
      <c r="D33" s="212" t="str">
        <f>'Technology Matrix'!B21</f>
        <v>Permeable Reactive Barriers (PRBs) - Trench Method
(Aquifer Thickness - 
30 feet)</v>
      </c>
      <c r="E33" s="253">
        <f>'Technology Matrix'!S21</f>
        <v>75</v>
      </c>
      <c r="F33" s="213">
        <f>'Technology Matrix'!T21</f>
        <v>95</v>
      </c>
      <c r="G33" s="215" t="str">
        <f t="shared" ref="G33:BR33" si="23">IF(AND(G$3&gt;=$E33,G$3&lt;=$F33),"T","F")</f>
        <v>F</v>
      </c>
      <c r="H33" s="214" t="str">
        <f t="shared" si="23"/>
        <v>F</v>
      </c>
      <c r="I33" s="214" t="str">
        <f t="shared" si="23"/>
        <v>F</v>
      </c>
      <c r="J33" s="214" t="str">
        <f t="shared" si="23"/>
        <v>F</v>
      </c>
      <c r="K33" s="214" t="str">
        <f t="shared" si="23"/>
        <v>F</v>
      </c>
      <c r="L33" s="214" t="str">
        <f t="shared" si="23"/>
        <v>F</v>
      </c>
      <c r="M33" s="214" t="str">
        <f t="shared" si="23"/>
        <v>F</v>
      </c>
      <c r="N33" s="214" t="str">
        <f t="shared" si="23"/>
        <v>F</v>
      </c>
      <c r="O33" s="214" t="str">
        <f t="shared" si="23"/>
        <v>F</v>
      </c>
      <c r="P33" s="214" t="str">
        <f t="shared" si="23"/>
        <v>F</v>
      </c>
      <c r="Q33" s="215" t="str">
        <f t="shared" si="23"/>
        <v>F</v>
      </c>
      <c r="R33" s="214" t="str">
        <f t="shared" si="23"/>
        <v>F</v>
      </c>
      <c r="S33" s="214" t="str">
        <f t="shared" si="23"/>
        <v>F</v>
      </c>
      <c r="T33" s="214" t="str">
        <f t="shared" si="23"/>
        <v>F</v>
      </c>
      <c r="U33" s="214" t="str">
        <f t="shared" si="23"/>
        <v>F</v>
      </c>
      <c r="V33" s="214" t="str">
        <f t="shared" si="23"/>
        <v>F</v>
      </c>
      <c r="W33" s="214" t="str">
        <f t="shared" si="23"/>
        <v>F</v>
      </c>
      <c r="X33" s="214" t="str">
        <f t="shared" si="23"/>
        <v>F</v>
      </c>
      <c r="Y33" s="214" t="str">
        <f t="shared" si="23"/>
        <v>F</v>
      </c>
      <c r="Z33" s="214" t="str">
        <f t="shared" si="23"/>
        <v>F</v>
      </c>
      <c r="AA33" s="215" t="str">
        <f t="shared" si="23"/>
        <v>F</v>
      </c>
      <c r="AB33" s="214" t="str">
        <f t="shared" si="23"/>
        <v>F</v>
      </c>
      <c r="AC33" s="214" t="str">
        <f t="shared" si="23"/>
        <v>F</v>
      </c>
      <c r="AD33" s="214" t="str">
        <f t="shared" si="23"/>
        <v>F</v>
      </c>
      <c r="AE33" s="214" t="str">
        <f t="shared" si="23"/>
        <v>F</v>
      </c>
      <c r="AF33" s="214" t="str">
        <f t="shared" si="23"/>
        <v>F</v>
      </c>
      <c r="AG33" s="214" t="str">
        <f t="shared" si="23"/>
        <v>F</v>
      </c>
      <c r="AH33" s="214" t="str">
        <f t="shared" si="23"/>
        <v>F</v>
      </c>
      <c r="AI33" s="214" t="str">
        <f t="shared" si="23"/>
        <v>F</v>
      </c>
      <c r="AJ33" s="214" t="str">
        <f t="shared" si="23"/>
        <v>F</v>
      </c>
      <c r="AK33" s="215" t="str">
        <f t="shared" si="23"/>
        <v>F</v>
      </c>
      <c r="AL33" s="214" t="str">
        <f t="shared" si="23"/>
        <v>F</v>
      </c>
      <c r="AM33" s="214" t="str">
        <f t="shared" si="23"/>
        <v>F</v>
      </c>
      <c r="AN33" s="214" t="str">
        <f t="shared" si="23"/>
        <v>F</v>
      </c>
      <c r="AO33" s="214" t="str">
        <f t="shared" si="23"/>
        <v>F</v>
      </c>
      <c r="AP33" s="214" t="str">
        <f t="shared" si="23"/>
        <v>F</v>
      </c>
      <c r="AQ33" s="214" t="str">
        <f t="shared" si="23"/>
        <v>F</v>
      </c>
      <c r="AR33" s="214" t="str">
        <f t="shared" si="23"/>
        <v>F</v>
      </c>
      <c r="AS33" s="214" t="str">
        <f t="shared" si="23"/>
        <v>F</v>
      </c>
      <c r="AT33" s="214" t="str">
        <f t="shared" si="23"/>
        <v>F</v>
      </c>
      <c r="AU33" s="215" t="str">
        <f t="shared" si="23"/>
        <v>F</v>
      </c>
      <c r="AV33" s="214" t="str">
        <f t="shared" si="23"/>
        <v>F</v>
      </c>
      <c r="AW33" s="214" t="str">
        <f t="shared" si="23"/>
        <v>F</v>
      </c>
      <c r="AX33" s="214" t="str">
        <f t="shared" si="23"/>
        <v>F</v>
      </c>
      <c r="AY33" s="214" t="str">
        <f t="shared" si="23"/>
        <v>F</v>
      </c>
      <c r="AZ33" s="214" t="str">
        <f t="shared" si="23"/>
        <v>F</v>
      </c>
      <c r="BA33" s="214" t="str">
        <f t="shared" si="23"/>
        <v>F</v>
      </c>
      <c r="BB33" s="214" t="str">
        <f t="shared" si="23"/>
        <v>F</v>
      </c>
      <c r="BC33" s="214" t="str">
        <f t="shared" si="23"/>
        <v>F</v>
      </c>
      <c r="BD33" s="214" t="str">
        <f t="shared" si="23"/>
        <v>F</v>
      </c>
      <c r="BE33" s="215" t="str">
        <f t="shared" si="23"/>
        <v>F</v>
      </c>
      <c r="BF33" s="214" t="str">
        <f t="shared" si="23"/>
        <v>F</v>
      </c>
      <c r="BG33" s="214" t="str">
        <f t="shared" si="23"/>
        <v>F</v>
      </c>
      <c r="BH33" s="214" t="str">
        <f t="shared" si="23"/>
        <v>F</v>
      </c>
      <c r="BI33" s="214" t="str">
        <f t="shared" si="23"/>
        <v>F</v>
      </c>
      <c r="BJ33" s="214" t="str">
        <f t="shared" si="23"/>
        <v>F</v>
      </c>
      <c r="BK33" s="214" t="str">
        <f t="shared" si="23"/>
        <v>F</v>
      </c>
      <c r="BL33" s="214" t="str">
        <f t="shared" si="23"/>
        <v>F</v>
      </c>
      <c r="BM33" s="214" t="str">
        <f t="shared" si="23"/>
        <v>F</v>
      </c>
      <c r="BN33" s="214" t="str">
        <f t="shared" si="23"/>
        <v>F</v>
      </c>
      <c r="BO33" s="215" t="str">
        <f t="shared" si="23"/>
        <v>F</v>
      </c>
      <c r="BP33" s="214" t="str">
        <f t="shared" si="23"/>
        <v>F</v>
      </c>
      <c r="BQ33" s="214" t="str">
        <f t="shared" si="23"/>
        <v>F</v>
      </c>
      <c r="BR33" s="214" t="str">
        <f t="shared" si="23"/>
        <v>F</v>
      </c>
      <c r="BS33" s="214" t="str">
        <f t="shared" si="21"/>
        <v>F</v>
      </c>
      <c r="BT33" s="214" t="str">
        <f t="shared" si="21"/>
        <v>F</v>
      </c>
      <c r="BU33" s="214" t="str">
        <f t="shared" si="21"/>
        <v>F</v>
      </c>
      <c r="BV33" s="214" t="str">
        <f t="shared" si="21"/>
        <v>F</v>
      </c>
      <c r="BW33" s="214" t="str">
        <f t="shared" si="21"/>
        <v>F</v>
      </c>
      <c r="BX33" s="214" t="str">
        <f t="shared" si="21"/>
        <v>F</v>
      </c>
      <c r="BY33" s="215" t="str">
        <f t="shared" si="21"/>
        <v>F</v>
      </c>
      <c r="BZ33" s="214" t="str">
        <f t="shared" si="21"/>
        <v>F</v>
      </c>
      <c r="CA33" s="214" t="str">
        <f t="shared" si="21"/>
        <v>F</v>
      </c>
      <c r="CB33" s="214" t="str">
        <f t="shared" si="21"/>
        <v>F</v>
      </c>
      <c r="CC33" s="214" t="str">
        <f t="shared" si="21"/>
        <v>F</v>
      </c>
      <c r="CD33" s="214" t="str">
        <f t="shared" si="21"/>
        <v>T</v>
      </c>
      <c r="CE33" s="214" t="str">
        <f t="shared" si="21"/>
        <v>T</v>
      </c>
      <c r="CF33" s="214" t="str">
        <f t="shared" si="21"/>
        <v>T</v>
      </c>
      <c r="CG33" s="214" t="str">
        <f t="shared" si="21"/>
        <v>T</v>
      </c>
      <c r="CH33" s="214" t="str">
        <f t="shared" si="21"/>
        <v>T</v>
      </c>
      <c r="CI33" s="215" t="str">
        <f t="shared" si="21"/>
        <v>T</v>
      </c>
      <c r="CJ33" s="214" t="str">
        <f t="shared" si="21"/>
        <v>T</v>
      </c>
      <c r="CK33" s="214" t="str">
        <f t="shared" si="21"/>
        <v>T</v>
      </c>
      <c r="CL33" s="214" t="str">
        <f t="shared" si="21"/>
        <v>T</v>
      </c>
      <c r="CM33" s="214" t="str">
        <f t="shared" si="21"/>
        <v>T</v>
      </c>
      <c r="CN33" s="214" t="str">
        <f t="shared" si="21"/>
        <v>T</v>
      </c>
      <c r="CO33" s="214" t="str">
        <f t="shared" si="21"/>
        <v>T</v>
      </c>
      <c r="CP33" s="214" t="str">
        <f t="shared" si="21"/>
        <v>T</v>
      </c>
      <c r="CQ33" s="214" t="str">
        <f t="shared" si="21"/>
        <v>T</v>
      </c>
      <c r="CR33" s="214" t="str">
        <f t="shared" si="21"/>
        <v>T</v>
      </c>
      <c r="CS33" s="215" t="str">
        <f t="shared" si="21"/>
        <v>T</v>
      </c>
      <c r="CT33" s="214" t="str">
        <f t="shared" si="21"/>
        <v>T</v>
      </c>
      <c r="CU33" s="214" t="str">
        <f t="shared" si="21"/>
        <v>T</v>
      </c>
      <c r="CV33" s="214" t="str">
        <f t="shared" si="21"/>
        <v>T</v>
      </c>
      <c r="CW33" s="214" t="str">
        <f t="shared" si="21"/>
        <v>T</v>
      </c>
      <c r="CX33" s="214" t="str">
        <f t="shared" si="21"/>
        <v>T</v>
      </c>
      <c r="CY33" s="214" t="str">
        <f t="shared" si="21"/>
        <v>F</v>
      </c>
      <c r="CZ33" s="214" t="str">
        <f t="shared" si="21"/>
        <v>F</v>
      </c>
      <c r="DA33" s="214" t="str">
        <f t="shared" si="21"/>
        <v>F</v>
      </c>
      <c r="DB33" s="214" t="str">
        <f t="shared" si="21"/>
        <v>F</v>
      </c>
      <c r="DC33" s="216" t="str">
        <f t="shared" si="21"/>
        <v>F</v>
      </c>
    </row>
    <row r="34" spans="2:111" x14ac:dyDescent="0.2">
      <c r="B34" s="211"/>
      <c r="C34" s="613"/>
      <c r="D34" s="212"/>
      <c r="E34" s="253"/>
      <c r="F34" s="213"/>
      <c r="G34" s="226"/>
      <c r="H34" s="227"/>
      <c r="I34" s="227"/>
      <c r="J34" s="227"/>
      <c r="K34" s="227"/>
      <c r="L34" s="227"/>
      <c r="M34" s="227"/>
      <c r="N34" s="227"/>
      <c r="O34" s="227"/>
      <c r="P34" s="227"/>
      <c r="Q34" s="228"/>
      <c r="R34" s="227"/>
      <c r="S34" s="227"/>
      <c r="T34" s="227"/>
      <c r="U34" s="227"/>
      <c r="V34" s="227"/>
      <c r="W34" s="227"/>
      <c r="X34" s="227"/>
      <c r="Y34" s="227"/>
      <c r="Z34" s="227"/>
      <c r="AA34" s="228"/>
      <c r="AB34" s="227"/>
      <c r="AC34" s="227"/>
      <c r="AD34" s="227"/>
      <c r="AE34" s="227"/>
      <c r="AF34" s="227"/>
      <c r="AG34" s="227"/>
      <c r="AH34" s="227"/>
      <c r="AI34" s="227"/>
      <c r="AJ34" s="227"/>
      <c r="AK34" s="228"/>
      <c r="AL34" s="227"/>
      <c r="AM34" s="227"/>
      <c r="AN34" s="227"/>
      <c r="AO34" s="227"/>
      <c r="AP34" s="227"/>
      <c r="AQ34" s="227"/>
      <c r="AR34" s="227"/>
      <c r="AS34" s="227"/>
      <c r="AT34" s="227"/>
      <c r="AU34" s="228"/>
      <c r="AV34" s="227"/>
      <c r="AW34" s="227"/>
      <c r="AX34" s="227"/>
      <c r="AY34" s="227"/>
      <c r="AZ34" s="227"/>
      <c r="BA34" s="227"/>
      <c r="BB34" s="227"/>
      <c r="BC34" s="227"/>
      <c r="BD34" s="227"/>
      <c r="BE34" s="228"/>
      <c r="BF34" s="227"/>
      <c r="BG34" s="227"/>
      <c r="BH34" s="227"/>
      <c r="BI34" s="227"/>
      <c r="BJ34" s="227"/>
      <c r="BK34" s="227"/>
      <c r="BL34" s="227"/>
      <c r="BM34" s="227"/>
      <c r="BN34" s="227"/>
      <c r="BO34" s="228"/>
      <c r="BP34" s="227"/>
      <c r="BQ34" s="227"/>
      <c r="BR34" s="227"/>
      <c r="BS34" s="227"/>
      <c r="BT34" s="227"/>
      <c r="BU34" s="227"/>
      <c r="BV34" s="227"/>
      <c r="BW34" s="227"/>
      <c r="BX34" s="227"/>
      <c r="BY34" s="228"/>
      <c r="BZ34" s="227"/>
      <c r="CA34" s="227"/>
      <c r="CB34" s="227"/>
      <c r="CC34" s="227"/>
      <c r="CD34" s="227"/>
      <c r="CE34" s="227"/>
      <c r="CF34" s="227"/>
      <c r="CG34" s="227"/>
      <c r="CH34" s="227"/>
      <c r="CI34" s="228"/>
      <c r="CJ34" s="227"/>
      <c r="CK34" s="227"/>
      <c r="CL34" s="227"/>
      <c r="CM34" s="227"/>
      <c r="CN34" s="227"/>
      <c r="CO34" s="227"/>
      <c r="CP34" s="227"/>
      <c r="CQ34" s="227"/>
      <c r="CR34" s="227"/>
      <c r="CS34" s="228"/>
      <c r="CT34" s="227"/>
      <c r="CU34" s="227"/>
      <c r="CV34" s="227"/>
      <c r="CW34" s="227"/>
      <c r="CX34" s="227"/>
      <c r="CY34" s="227"/>
      <c r="CZ34" s="227"/>
      <c r="DA34" s="227"/>
      <c r="DB34" s="227"/>
      <c r="DC34" s="229"/>
    </row>
    <row r="35" spans="2:111" ht="36" x14ac:dyDescent="0.2">
      <c r="B35" s="211"/>
      <c r="C35" s="613"/>
      <c r="D35" s="212" t="str">
        <f>'Technology Matrix'!B23</f>
        <v>Permeable Reactive Barriers (PRBs) - Injection Well Method
(Aquifer Thickness - 
45 feet)</v>
      </c>
      <c r="E35" s="253">
        <f>'Technology Matrix'!S23</f>
        <v>75</v>
      </c>
      <c r="F35" s="213">
        <f>'Technology Matrix'!T23</f>
        <v>95</v>
      </c>
      <c r="G35" s="215" t="str">
        <f t="shared" ref="G35:BR35" si="24">IF(AND(G$3&gt;=$E35,G$3&lt;=$F35),"T","F")</f>
        <v>F</v>
      </c>
      <c r="H35" s="214" t="str">
        <f t="shared" si="24"/>
        <v>F</v>
      </c>
      <c r="I35" s="214" t="str">
        <f t="shared" si="24"/>
        <v>F</v>
      </c>
      <c r="J35" s="214" t="str">
        <f t="shared" si="24"/>
        <v>F</v>
      </c>
      <c r="K35" s="214" t="str">
        <f t="shared" si="24"/>
        <v>F</v>
      </c>
      <c r="L35" s="214" t="str">
        <f t="shared" si="24"/>
        <v>F</v>
      </c>
      <c r="M35" s="214" t="str">
        <f t="shared" si="24"/>
        <v>F</v>
      </c>
      <c r="N35" s="214" t="str">
        <f t="shared" si="24"/>
        <v>F</v>
      </c>
      <c r="O35" s="214" t="str">
        <f t="shared" si="24"/>
        <v>F</v>
      </c>
      <c r="P35" s="214" t="str">
        <f t="shared" si="24"/>
        <v>F</v>
      </c>
      <c r="Q35" s="215" t="str">
        <f t="shared" si="24"/>
        <v>F</v>
      </c>
      <c r="R35" s="214" t="str">
        <f t="shared" si="24"/>
        <v>F</v>
      </c>
      <c r="S35" s="214" t="str">
        <f t="shared" si="24"/>
        <v>F</v>
      </c>
      <c r="T35" s="214" t="str">
        <f t="shared" si="24"/>
        <v>F</v>
      </c>
      <c r="U35" s="214" t="str">
        <f t="shared" si="24"/>
        <v>F</v>
      </c>
      <c r="V35" s="214" t="str">
        <f t="shared" si="24"/>
        <v>F</v>
      </c>
      <c r="W35" s="214" t="str">
        <f t="shared" si="24"/>
        <v>F</v>
      </c>
      <c r="X35" s="214" t="str">
        <f t="shared" si="24"/>
        <v>F</v>
      </c>
      <c r="Y35" s="214" t="str">
        <f t="shared" si="24"/>
        <v>F</v>
      </c>
      <c r="Z35" s="214" t="str">
        <f t="shared" si="24"/>
        <v>F</v>
      </c>
      <c r="AA35" s="215" t="str">
        <f t="shared" si="24"/>
        <v>F</v>
      </c>
      <c r="AB35" s="214" t="str">
        <f t="shared" si="24"/>
        <v>F</v>
      </c>
      <c r="AC35" s="214" t="str">
        <f t="shared" si="24"/>
        <v>F</v>
      </c>
      <c r="AD35" s="214" t="str">
        <f t="shared" si="24"/>
        <v>F</v>
      </c>
      <c r="AE35" s="214" t="str">
        <f t="shared" si="24"/>
        <v>F</v>
      </c>
      <c r="AF35" s="214" t="str">
        <f t="shared" si="24"/>
        <v>F</v>
      </c>
      <c r="AG35" s="214" t="str">
        <f t="shared" si="24"/>
        <v>F</v>
      </c>
      <c r="AH35" s="214" t="str">
        <f t="shared" si="24"/>
        <v>F</v>
      </c>
      <c r="AI35" s="214" t="str">
        <f t="shared" si="24"/>
        <v>F</v>
      </c>
      <c r="AJ35" s="214" t="str">
        <f t="shared" si="24"/>
        <v>F</v>
      </c>
      <c r="AK35" s="215" t="str">
        <f t="shared" si="24"/>
        <v>F</v>
      </c>
      <c r="AL35" s="214" t="str">
        <f t="shared" si="24"/>
        <v>F</v>
      </c>
      <c r="AM35" s="214" t="str">
        <f t="shared" si="24"/>
        <v>F</v>
      </c>
      <c r="AN35" s="214" t="str">
        <f t="shared" si="24"/>
        <v>F</v>
      </c>
      <c r="AO35" s="214" t="str">
        <f t="shared" si="24"/>
        <v>F</v>
      </c>
      <c r="AP35" s="214" t="str">
        <f t="shared" si="24"/>
        <v>F</v>
      </c>
      <c r="AQ35" s="214" t="str">
        <f t="shared" si="24"/>
        <v>F</v>
      </c>
      <c r="AR35" s="214" t="str">
        <f t="shared" si="24"/>
        <v>F</v>
      </c>
      <c r="AS35" s="214" t="str">
        <f t="shared" si="24"/>
        <v>F</v>
      </c>
      <c r="AT35" s="214" t="str">
        <f t="shared" si="24"/>
        <v>F</v>
      </c>
      <c r="AU35" s="215" t="str">
        <f t="shared" si="24"/>
        <v>F</v>
      </c>
      <c r="AV35" s="214" t="str">
        <f t="shared" si="24"/>
        <v>F</v>
      </c>
      <c r="AW35" s="214" t="str">
        <f t="shared" si="24"/>
        <v>F</v>
      </c>
      <c r="AX35" s="214" t="str">
        <f t="shared" si="24"/>
        <v>F</v>
      </c>
      <c r="AY35" s="214" t="str">
        <f t="shared" si="24"/>
        <v>F</v>
      </c>
      <c r="AZ35" s="214" t="str">
        <f t="shared" si="24"/>
        <v>F</v>
      </c>
      <c r="BA35" s="214" t="str">
        <f t="shared" si="24"/>
        <v>F</v>
      </c>
      <c r="BB35" s="214" t="str">
        <f t="shared" si="24"/>
        <v>F</v>
      </c>
      <c r="BC35" s="214" t="str">
        <f t="shared" si="24"/>
        <v>F</v>
      </c>
      <c r="BD35" s="214" t="str">
        <f t="shared" si="24"/>
        <v>F</v>
      </c>
      <c r="BE35" s="215" t="str">
        <f t="shared" si="24"/>
        <v>F</v>
      </c>
      <c r="BF35" s="214" t="str">
        <f t="shared" si="24"/>
        <v>F</v>
      </c>
      <c r="BG35" s="214" t="str">
        <f t="shared" si="24"/>
        <v>F</v>
      </c>
      <c r="BH35" s="214" t="str">
        <f t="shared" si="24"/>
        <v>F</v>
      </c>
      <c r="BI35" s="214" t="str">
        <f t="shared" si="24"/>
        <v>F</v>
      </c>
      <c r="BJ35" s="214" t="str">
        <f t="shared" si="24"/>
        <v>F</v>
      </c>
      <c r="BK35" s="214" t="str">
        <f t="shared" si="24"/>
        <v>F</v>
      </c>
      <c r="BL35" s="214" t="str">
        <f t="shared" si="24"/>
        <v>F</v>
      </c>
      <c r="BM35" s="214" t="str">
        <f t="shared" si="24"/>
        <v>F</v>
      </c>
      <c r="BN35" s="214" t="str">
        <f t="shared" si="24"/>
        <v>F</v>
      </c>
      <c r="BO35" s="215" t="str">
        <f t="shared" si="24"/>
        <v>F</v>
      </c>
      <c r="BP35" s="214" t="str">
        <f t="shared" si="24"/>
        <v>F</v>
      </c>
      <c r="BQ35" s="214" t="str">
        <f t="shared" si="24"/>
        <v>F</v>
      </c>
      <c r="BR35" s="214" t="str">
        <f t="shared" si="24"/>
        <v>F</v>
      </c>
      <c r="BS35" s="214" t="str">
        <f t="shared" si="21"/>
        <v>F</v>
      </c>
      <c r="BT35" s="214" t="str">
        <f t="shared" si="21"/>
        <v>F</v>
      </c>
      <c r="BU35" s="214" t="str">
        <f t="shared" si="21"/>
        <v>F</v>
      </c>
      <c r="BV35" s="214" t="str">
        <f t="shared" si="21"/>
        <v>F</v>
      </c>
      <c r="BW35" s="214" t="str">
        <f t="shared" si="21"/>
        <v>F</v>
      </c>
      <c r="BX35" s="214" t="str">
        <f t="shared" si="21"/>
        <v>F</v>
      </c>
      <c r="BY35" s="215" t="str">
        <f t="shared" si="21"/>
        <v>F</v>
      </c>
      <c r="BZ35" s="214" t="str">
        <f t="shared" si="21"/>
        <v>F</v>
      </c>
      <c r="CA35" s="214" t="str">
        <f t="shared" si="21"/>
        <v>F</v>
      </c>
      <c r="CB35" s="214" t="str">
        <f t="shared" si="21"/>
        <v>F</v>
      </c>
      <c r="CC35" s="214" t="str">
        <f t="shared" si="21"/>
        <v>F</v>
      </c>
      <c r="CD35" s="214" t="str">
        <f t="shared" si="21"/>
        <v>T</v>
      </c>
      <c r="CE35" s="214" t="str">
        <f t="shared" si="21"/>
        <v>T</v>
      </c>
      <c r="CF35" s="214" t="str">
        <f t="shared" si="21"/>
        <v>T</v>
      </c>
      <c r="CG35" s="214" t="str">
        <f t="shared" si="21"/>
        <v>T</v>
      </c>
      <c r="CH35" s="214" t="str">
        <f t="shared" si="21"/>
        <v>T</v>
      </c>
      <c r="CI35" s="215" t="str">
        <f t="shared" si="21"/>
        <v>T</v>
      </c>
      <c r="CJ35" s="214" t="str">
        <f t="shared" si="21"/>
        <v>T</v>
      </c>
      <c r="CK35" s="214" t="str">
        <f t="shared" si="21"/>
        <v>T</v>
      </c>
      <c r="CL35" s="214" t="str">
        <f t="shared" si="21"/>
        <v>T</v>
      </c>
      <c r="CM35" s="214" t="str">
        <f t="shared" si="21"/>
        <v>T</v>
      </c>
      <c r="CN35" s="214" t="str">
        <f t="shared" si="21"/>
        <v>T</v>
      </c>
      <c r="CO35" s="214" t="str">
        <f t="shared" si="21"/>
        <v>T</v>
      </c>
      <c r="CP35" s="214" t="str">
        <f t="shared" si="21"/>
        <v>T</v>
      </c>
      <c r="CQ35" s="214" t="str">
        <f t="shared" si="21"/>
        <v>T</v>
      </c>
      <c r="CR35" s="214" t="str">
        <f t="shared" si="21"/>
        <v>T</v>
      </c>
      <c r="CS35" s="215" t="str">
        <f t="shared" si="21"/>
        <v>T</v>
      </c>
      <c r="CT35" s="214" t="str">
        <f t="shared" si="21"/>
        <v>T</v>
      </c>
      <c r="CU35" s="214" t="str">
        <f t="shared" si="21"/>
        <v>T</v>
      </c>
      <c r="CV35" s="214" t="str">
        <f t="shared" si="21"/>
        <v>T</v>
      </c>
      <c r="CW35" s="214" t="str">
        <f t="shared" si="21"/>
        <v>T</v>
      </c>
      <c r="CX35" s="214" t="str">
        <f t="shared" si="21"/>
        <v>T</v>
      </c>
      <c r="CY35" s="214" t="str">
        <f t="shared" si="21"/>
        <v>F</v>
      </c>
      <c r="CZ35" s="214" t="str">
        <f t="shared" si="21"/>
        <v>F</v>
      </c>
      <c r="DA35" s="214" t="str">
        <f t="shared" si="21"/>
        <v>F</v>
      </c>
      <c r="DB35" s="214" t="str">
        <f t="shared" si="21"/>
        <v>F</v>
      </c>
      <c r="DC35" s="216" t="str">
        <f t="shared" si="21"/>
        <v>F</v>
      </c>
    </row>
    <row r="36" spans="2:111" x14ac:dyDescent="0.2">
      <c r="B36" s="211"/>
      <c r="C36" s="613"/>
      <c r="D36" s="212"/>
      <c r="E36" s="253"/>
      <c r="F36" s="213"/>
      <c r="G36" s="226"/>
      <c r="H36" s="227"/>
      <c r="I36" s="227"/>
      <c r="J36" s="227"/>
      <c r="K36" s="227"/>
      <c r="L36" s="227"/>
      <c r="M36" s="227"/>
      <c r="N36" s="227"/>
      <c r="O36" s="227"/>
      <c r="P36" s="227"/>
      <c r="Q36" s="228"/>
      <c r="R36" s="227"/>
      <c r="S36" s="227"/>
      <c r="T36" s="227"/>
      <c r="U36" s="227"/>
      <c r="V36" s="227"/>
      <c r="W36" s="227"/>
      <c r="X36" s="227"/>
      <c r="Y36" s="227"/>
      <c r="Z36" s="227"/>
      <c r="AA36" s="228"/>
      <c r="AB36" s="227"/>
      <c r="AC36" s="227"/>
      <c r="AD36" s="227"/>
      <c r="AE36" s="227"/>
      <c r="AF36" s="227"/>
      <c r="AG36" s="227"/>
      <c r="AH36" s="227"/>
      <c r="AI36" s="227"/>
      <c r="AJ36" s="227"/>
      <c r="AK36" s="228"/>
      <c r="AL36" s="227"/>
      <c r="AM36" s="227"/>
      <c r="AN36" s="227"/>
      <c r="AO36" s="227"/>
      <c r="AP36" s="227"/>
      <c r="AQ36" s="227"/>
      <c r="AR36" s="227"/>
      <c r="AS36" s="227"/>
      <c r="AT36" s="227"/>
      <c r="AU36" s="228"/>
      <c r="AV36" s="227"/>
      <c r="AW36" s="227"/>
      <c r="AX36" s="227"/>
      <c r="AY36" s="227"/>
      <c r="AZ36" s="227"/>
      <c r="BA36" s="227"/>
      <c r="BB36" s="227"/>
      <c r="BC36" s="227"/>
      <c r="BD36" s="227"/>
      <c r="BE36" s="228"/>
      <c r="BF36" s="227"/>
      <c r="BG36" s="227"/>
      <c r="BH36" s="227"/>
      <c r="BI36" s="227"/>
      <c r="BJ36" s="227"/>
      <c r="BK36" s="227"/>
      <c r="BL36" s="227"/>
      <c r="BM36" s="227"/>
      <c r="BN36" s="227"/>
      <c r="BO36" s="228"/>
      <c r="BP36" s="227"/>
      <c r="BQ36" s="227"/>
      <c r="BR36" s="227"/>
      <c r="BS36" s="227"/>
      <c r="BT36" s="227"/>
      <c r="BU36" s="227"/>
      <c r="BV36" s="227"/>
      <c r="BW36" s="227"/>
      <c r="BX36" s="227"/>
      <c r="BY36" s="228"/>
      <c r="BZ36" s="227"/>
      <c r="CA36" s="227"/>
      <c r="CB36" s="227"/>
      <c r="CC36" s="227"/>
      <c r="CD36" s="227"/>
      <c r="CE36" s="227"/>
      <c r="CF36" s="227"/>
      <c r="CG36" s="227"/>
      <c r="CH36" s="227"/>
      <c r="CI36" s="228"/>
      <c r="CJ36" s="227"/>
      <c r="CK36" s="227"/>
      <c r="CL36" s="227"/>
      <c r="CM36" s="227"/>
      <c r="CN36" s="227"/>
      <c r="CO36" s="227"/>
      <c r="CP36" s="227"/>
      <c r="CQ36" s="227"/>
      <c r="CR36" s="227"/>
      <c r="CS36" s="228"/>
      <c r="CT36" s="227"/>
      <c r="CU36" s="227"/>
      <c r="CV36" s="227"/>
      <c r="CW36" s="227"/>
      <c r="CX36" s="227"/>
      <c r="CY36" s="227"/>
      <c r="CZ36" s="227"/>
      <c r="DA36" s="227"/>
      <c r="DB36" s="227"/>
      <c r="DC36" s="229"/>
    </row>
    <row r="37" spans="2:111" x14ac:dyDescent="0.2">
      <c r="B37" s="211"/>
      <c r="C37" s="613"/>
      <c r="D37" s="212" t="str">
        <f>'Technology Matrix'!B25</f>
        <v>Fertigation Wells - Turf</v>
      </c>
      <c r="E37" s="253">
        <f>'Technology Matrix'!S25</f>
        <v>60</v>
      </c>
      <c r="F37" s="213">
        <f>'Technology Matrix'!T25</f>
        <v>80</v>
      </c>
      <c r="G37" s="215" t="str">
        <f t="shared" ref="G37:BR37" si="25">IF(AND(G$3&gt;=$E37,G$3&lt;=$F37),"T","F")</f>
        <v>F</v>
      </c>
      <c r="H37" s="214" t="str">
        <f t="shared" si="25"/>
        <v>F</v>
      </c>
      <c r="I37" s="214" t="str">
        <f t="shared" si="25"/>
        <v>F</v>
      </c>
      <c r="J37" s="214" t="str">
        <f t="shared" si="25"/>
        <v>F</v>
      </c>
      <c r="K37" s="214" t="str">
        <f t="shared" si="25"/>
        <v>F</v>
      </c>
      <c r="L37" s="214" t="str">
        <f t="shared" si="25"/>
        <v>F</v>
      </c>
      <c r="M37" s="214" t="str">
        <f t="shared" si="25"/>
        <v>F</v>
      </c>
      <c r="N37" s="214" t="str">
        <f t="shared" si="25"/>
        <v>F</v>
      </c>
      <c r="O37" s="214" t="str">
        <f t="shared" si="25"/>
        <v>F</v>
      </c>
      <c r="P37" s="214" t="str">
        <f t="shared" si="25"/>
        <v>F</v>
      </c>
      <c r="Q37" s="215" t="str">
        <f t="shared" si="25"/>
        <v>F</v>
      </c>
      <c r="R37" s="214" t="str">
        <f t="shared" si="25"/>
        <v>F</v>
      </c>
      <c r="S37" s="214" t="str">
        <f t="shared" si="25"/>
        <v>F</v>
      </c>
      <c r="T37" s="214" t="str">
        <f t="shared" si="25"/>
        <v>F</v>
      </c>
      <c r="U37" s="214" t="str">
        <f t="shared" si="25"/>
        <v>F</v>
      </c>
      <c r="V37" s="214" t="str">
        <f t="shared" si="25"/>
        <v>F</v>
      </c>
      <c r="W37" s="214" t="str">
        <f t="shared" si="25"/>
        <v>F</v>
      </c>
      <c r="X37" s="214" t="str">
        <f t="shared" si="25"/>
        <v>F</v>
      </c>
      <c r="Y37" s="214" t="str">
        <f t="shared" si="25"/>
        <v>F</v>
      </c>
      <c r="Z37" s="214" t="str">
        <f t="shared" si="25"/>
        <v>F</v>
      </c>
      <c r="AA37" s="215" t="str">
        <f t="shared" si="25"/>
        <v>F</v>
      </c>
      <c r="AB37" s="214" t="str">
        <f t="shared" si="25"/>
        <v>F</v>
      </c>
      <c r="AC37" s="214" t="str">
        <f t="shared" si="25"/>
        <v>F</v>
      </c>
      <c r="AD37" s="214" t="str">
        <f t="shared" si="25"/>
        <v>F</v>
      </c>
      <c r="AE37" s="214" t="str">
        <f t="shared" si="25"/>
        <v>F</v>
      </c>
      <c r="AF37" s="214" t="str">
        <f t="shared" si="25"/>
        <v>F</v>
      </c>
      <c r="AG37" s="214" t="str">
        <f t="shared" si="25"/>
        <v>F</v>
      </c>
      <c r="AH37" s="214" t="str">
        <f t="shared" si="25"/>
        <v>F</v>
      </c>
      <c r="AI37" s="214" t="str">
        <f t="shared" si="25"/>
        <v>F</v>
      </c>
      <c r="AJ37" s="214" t="str">
        <f t="shared" si="25"/>
        <v>F</v>
      </c>
      <c r="AK37" s="215" t="str">
        <f t="shared" si="25"/>
        <v>F</v>
      </c>
      <c r="AL37" s="214" t="str">
        <f t="shared" si="25"/>
        <v>F</v>
      </c>
      <c r="AM37" s="214" t="str">
        <f t="shared" si="25"/>
        <v>F</v>
      </c>
      <c r="AN37" s="214" t="str">
        <f t="shared" si="25"/>
        <v>F</v>
      </c>
      <c r="AO37" s="214" t="str">
        <f t="shared" si="25"/>
        <v>F</v>
      </c>
      <c r="AP37" s="214" t="str">
        <f t="shared" si="25"/>
        <v>F</v>
      </c>
      <c r="AQ37" s="214" t="str">
        <f t="shared" si="25"/>
        <v>F</v>
      </c>
      <c r="AR37" s="214" t="str">
        <f t="shared" si="25"/>
        <v>F</v>
      </c>
      <c r="AS37" s="214" t="str">
        <f t="shared" si="25"/>
        <v>F</v>
      </c>
      <c r="AT37" s="214" t="str">
        <f t="shared" si="25"/>
        <v>F</v>
      </c>
      <c r="AU37" s="215" t="str">
        <f t="shared" si="25"/>
        <v>F</v>
      </c>
      <c r="AV37" s="214" t="str">
        <f t="shared" si="25"/>
        <v>F</v>
      </c>
      <c r="AW37" s="214" t="str">
        <f t="shared" si="25"/>
        <v>F</v>
      </c>
      <c r="AX37" s="214" t="str">
        <f t="shared" si="25"/>
        <v>F</v>
      </c>
      <c r="AY37" s="214" t="str">
        <f t="shared" si="25"/>
        <v>F</v>
      </c>
      <c r="AZ37" s="214" t="str">
        <f t="shared" si="25"/>
        <v>F</v>
      </c>
      <c r="BA37" s="214" t="str">
        <f t="shared" si="25"/>
        <v>F</v>
      </c>
      <c r="BB37" s="214" t="str">
        <f t="shared" si="25"/>
        <v>F</v>
      </c>
      <c r="BC37" s="214" t="str">
        <f t="shared" si="25"/>
        <v>F</v>
      </c>
      <c r="BD37" s="214" t="str">
        <f t="shared" si="25"/>
        <v>F</v>
      </c>
      <c r="BE37" s="215" t="str">
        <f t="shared" si="25"/>
        <v>F</v>
      </c>
      <c r="BF37" s="214" t="str">
        <f t="shared" si="25"/>
        <v>F</v>
      </c>
      <c r="BG37" s="214" t="str">
        <f t="shared" si="25"/>
        <v>F</v>
      </c>
      <c r="BH37" s="214" t="str">
        <f t="shared" si="25"/>
        <v>F</v>
      </c>
      <c r="BI37" s="214" t="str">
        <f t="shared" si="25"/>
        <v>F</v>
      </c>
      <c r="BJ37" s="214" t="str">
        <f t="shared" si="25"/>
        <v>F</v>
      </c>
      <c r="BK37" s="214" t="str">
        <f t="shared" si="25"/>
        <v>F</v>
      </c>
      <c r="BL37" s="214" t="str">
        <f t="shared" si="25"/>
        <v>F</v>
      </c>
      <c r="BM37" s="214" t="str">
        <f t="shared" si="25"/>
        <v>F</v>
      </c>
      <c r="BN37" s="214" t="str">
        <f t="shared" si="25"/>
        <v>F</v>
      </c>
      <c r="BO37" s="215" t="str">
        <f t="shared" si="25"/>
        <v>T</v>
      </c>
      <c r="BP37" s="214" t="str">
        <f t="shared" si="25"/>
        <v>T</v>
      </c>
      <c r="BQ37" s="214" t="str">
        <f t="shared" si="25"/>
        <v>T</v>
      </c>
      <c r="BR37" s="214" t="str">
        <f t="shared" si="25"/>
        <v>T</v>
      </c>
      <c r="BS37" s="214" t="str">
        <f t="shared" si="21"/>
        <v>T</v>
      </c>
      <c r="BT37" s="214" t="str">
        <f t="shared" si="21"/>
        <v>T</v>
      </c>
      <c r="BU37" s="214" t="str">
        <f t="shared" si="21"/>
        <v>T</v>
      </c>
      <c r="BV37" s="214" t="str">
        <f t="shared" si="21"/>
        <v>T</v>
      </c>
      <c r="BW37" s="214" t="str">
        <f t="shared" si="21"/>
        <v>T</v>
      </c>
      <c r="BX37" s="214" t="str">
        <f t="shared" si="21"/>
        <v>T</v>
      </c>
      <c r="BY37" s="215" t="str">
        <f t="shared" si="21"/>
        <v>T</v>
      </c>
      <c r="BZ37" s="214" t="str">
        <f t="shared" si="21"/>
        <v>T</v>
      </c>
      <c r="CA37" s="214" t="str">
        <f t="shared" si="21"/>
        <v>T</v>
      </c>
      <c r="CB37" s="214" t="str">
        <f t="shared" si="21"/>
        <v>T</v>
      </c>
      <c r="CC37" s="214" t="str">
        <f t="shared" si="21"/>
        <v>T</v>
      </c>
      <c r="CD37" s="214" t="str">
        <f t="shared" si="21"/>
        <v>T</v>
      </c>
      <c r="CE37" s="214" t="str">
        <f t="shared" si="21"/>
        <v>T</v>
      </c>
      <c r="CF37" s="214" t="str">
        <f t="shared" si="21"/>
        <v>T</v>
      </c>
      <c r="CG37" s="214" t="str">
        <f t="shared" si="21"/>
        <v>T</v>
      </c>
      <c r="CH37" s="214" t="str">
        <f t="shared" si="21"/>
        <v>T</v>
      </c>
      <c r="CI37" s="215" t="str">
        <f t="shared" si="21"/>
        <v>T</v>
      </c>
      <c r="CJ37" s="214" t="str">
        <f t="shared" si="21"/>
        <v>F</v>
      </c>
      <c r="CK37" s="214" t="str">
        <f t="shared" si="21"/>
        <v>F</v>
      </c>
      <c r="CL37" s="214" t="str">
        <f t="shared" si="21"/>
        <v>F</v>
      </c>
      <c r="CM37" s="214" t="str">
        <f t="shared" si="21"/>
        <v>F</v>
      </c>
      <c r="CN37" s="214" t="str">
        <f t="shared" si="21"/>
        <v>F</v>
      </c>
      <c r="CO37" s="214" t="str">
        <f t="shared" si="21"/>
        <v>F</v>
      </c>
      <c r="CP37" s="214" t="str">
        <f t="shared" si="21"/>
        <v>F</v>
      </c>
      <c r="CQ37" s="214" t="str">
        <f t="shared" si="21"/>
        <v>F</v>
      </c>
      <c r="CR37" s="214" t="str">
        <f t="shared" si="21"/>
        <v>F</v>
      </c>
      <c r="CS37" s="215" t="str">
        <f t="shared" si="21"/>
        <v>F</v>
      </c>
      <c r="CT37" s="214" t="str">
        <f t="shared" si="21"/>
        <v>F</v>
      </c>
      <c r="CU37" s="214" t="str">
        <f t="shared" si="21"/>
        <v>F</v>
      </c>
      <c r="CV37" s="214" t="str">
        <f t="shared" si="21"/>
        <v>F</v>
      </c>
      <c r="CW37" s="214" t="str">
        <f t="shared" si="21"/>
        <v>F</v>
      </c>
      <c r="CX37" s="214" t="str">
        <f t="shared" si="21"/>
        <v>F</v>
      </c>
      <c r="CY37" s="214" t="str">
        <f t="shared" si="21"/>
        <v>F</v>
      </c>
      <c r="CZ37" s="214" t="str">
        <f t="shared" ref="CZ37:DC37" si="26">IF(AND(CZ$3&gt;=$E37,CZ$3&lt;=$F37),"T","F")</f>
        <v>F</v>
      </c>
      <c r="DA37" s="214" t="str">
        <f t="shared" si="26"/>
        <v>F</v>
      </c>
      <c r="DB37" s="214" t="str">
        <f t="shared" si="26"/>
        <v>F</v>
      </c>
      <c r="DC37" s="216" t="str">
        <f t="shared" si="26"/>
        <v>F</v>
      </c>
    </row>
    <row r="38" spans="2:111" x14ac:dyDescent="0.2">
      <c r="B38" s="211"/>
      <c r="C38" s="613"/>
      <c r="D38" s="212"/>
      <c r="E38" s="253"/>
      <c r="F38" s="213"/>
      <c r="G38" s="226"/>
      <c r="H38" s="227"/>
      <c r="I38" s="227"/>
      <c r="J38" s="227"/>
      <c r="K38" s="227"/>
      <c r="L38" s="227"/>
      <c r="M38" s="227"/>
      <c r="N38" s="227"/>
      <c r="O38" s="227"/>
      <c r="P38" s="227"/>
      <c r="Q38" s="228"/>
      <c r="R38" s="227"/>
      <c r="S38" s="227"/>
      <c r="T38" s="227"/>
      <c r="U38" s="227"/>
      <c r="V38" s="227"/>
      <c r="W38" s="227"/>
      <c r="X38" s="227"/>
      <c r="Y38" s="227"/>
      <c r="Z38" s="227"/>
      <c r="AA38" s="228"/>
      <c r="AB38" s="227"/>
      <c r="AC38" s="227"/>
      <c r="AD38" s="227"/>
      <c r="AE38" s="227"/>
      <c r="AF38" s="227"/>
      <c r="AG38" s="227"/>
      <c r="AH38" s="227"/>
      <c r="AI38" s="227"/>
      <c r="AJ38" s="227"/>
      <c r="AK38" s="228"/>
      <c r="AL38" s="227"/>
      <c r="AM38" s="227"/>
      <c r="AN38" s="227"/>
      <c r="AO38" s="227"/>
      <c r="AP38" s="227"/>
      <c r="AQ38" s="227"/>
      <c r="AR38" s="227"/>
      <c r="AS38" s="227"/>
      <c r="AT38" s="227"/>
      <c r="AU38" s="228"/>
      <c r="AV38" s="227"/>
      <c r="AW38" s="227"/>
      <c r="AX38" s="227"/>
      <c r="AY38" s="227"/>
      <c r="AZ38" s="227"/>
      <c r="BA38" s="227"/>
      <c r="BB38" s="227"/>
      <c r="BC38" s="227"/>
      <c r="BD38" s="227"/>
      <c r="BE38" s="228"/>
      <c r="BF38" s="227"/>
      <c r="BG38" s="227"/>
      <c r="BH38" s="227"/>
      <c r="BI38" s="227"/>
      <c r="BJ38" s="227"/>
      <c r="BK38" s="227"/>
      <c r="BL38" s="227"/>
      <c r="BM38" s="227"/>
      <c r="BN38" s="227"/>
      <c r="BO38" s="228"/>
      <c r="BP38" s="227"/>
      <c r="BQ38" s="227"/>
      <c r="BR38" s="227"/>
      <c r="BS38" s="227"/>
      <c r="BT38" s="227"/>
      <c r="BU38" s="227"/>
      <c r="BV38" s="227"/>
      <c r="BW38" s="227"/>
      <c r="BX38" s="227"/>
      <c r="BY38" s="228"/>
      <c r="BZ38" s="227"/>
      <c r="CA38" s="227"/>
      <c r="CB38" s="227"/>
      <c r="CC38" s="227"/>
      <c r="CD38" s="227"/>
      <c r="CE38" s="227"/>
      <c r="CF38" s="227"/>
      <c r="CG38" s="227"/>
      <c r="CH38" s="227"/>
      <c r="CI38" s="228"/>
      <c r="CJ38" s="227"/>
      <c r="CK38" s="227"/>
      <c r="CL38" s="227"/>
      <c r="CM38" s="227"/>
      <c r="CN38" s="227"/>
      <c r="CO38" s="227"/>
      <c r="CP38" s="227"/>
      <c r="CQ38" s="227"/>
      <c r="CR38" s="227"/>
      <c r="CS38" s="228"/>
      <c r="CT38" s="227"/>
      <c r="CU38" s="227"/>
      <c r="CV38" s="227"/>
      <c r="CW38" s="227"/>
      <c r="CX38" s="227"/>
      <c r="CY38" s="227"/>
      <c r="CZ38" s="227"/>
      <c r="DA38" s="227"/>
      <c r="DB38" s="227"/>
      <c r="DC38" s="229"/>
    </row>
    <row r="39" spans="2:111" x14ac:dyDescent="0.2">
      <c r="B39" s="211"/>
      <c r="C39" s="613"/>
      <c r="D39" s="212" t="str">
        <f>'Technology Matrix'!B26</f>
        <v>Fertigation Wells - Cranberry Bogs</v>
      </c>
      <c r="E39" s="253">
        <f>'Technology Matrix'!S26</f>
        <v>60</v>
      </c>
      <c r="F39" s="213">
        <f>'Technology Matrix'!T26</f>
        <v>80</v>
      </c>
      <c r="G39" s="215" t="str">
        <f t="shared" ref="G39:BR39" si="27">IF(AND(G$3&gt;=$E39,G$3&lt;=$F39),"T","F")</f>
        <v>F</v>
      </c>
      <c r="H39" s="214" t="str">
        <f t="shared" si="27"/>
        <v>F</v>
      </c>
      <c r="I39" s="214" t="str">
        <f t="shared" si="27"/>
        <v>F</v>
      </c>
      <c r="J39" s="214" t="str">
        <f t="shared" si="27"/>
        <v>F</v>
      </c>
      <c r="K39" s="214" t="str">
        <f t="shared" si="27"/>
        <v>F</v>
      </c>
      <c r="L39" s="214" t="str">
        <f t="shared" si="27"/>
        <v>F</v>
      </c>
      <c r="M39" s="214" t="str">
        <f t="shared" si="27"/>
        <v>F</v>
      </c>
      <c r="N39" s="214" t="str">
        <f t="shared" si="27"/>
        <v>F</v>
      </c>
      <c r="O39" s="214" t="str">
        <f t="shared" si="27"/>
        <v>F</v>
      </c>
      <c r="P39" s="214" t="str">
        <f t="shared" si="27"/>
        <v>F</v>
      </c>
      <c r="Q39" s="215" t="str">
        <f t="shared" si="27"/>
        <v>F</v>
      </c>
      <c r="R39" s="214" t="str">
        <f t="shared" si="27"/>
        <v>F</v>
      </c>
      <c r="S39" s="214" t="str">
        <f t="shared" si="27"/>
        <v>F</v>
      </c>
      <c r="T39" s="214" t="str">
        <f t="shared" si="27"/>
        <v>F</v>
      </c>
      <c r="U39" s="214" t="str">
        <f t="shared" si="27"/>
        <v>F</v>
      </c>
      <c r="V39" s="214" t="str">
        <f t="shared" si="27"/>
        <v>F</v>
      </c>
      <c r="W39" s="214" t="str">
        <f t="shared" si="27"/>
        <v>F</v>
      </c>
      <c r="X39" s="214" t="str">
        <f t="shared" si="27"/>
        <v>F</v>
      </c>
      <c r="Y39" s="214" t="str">
        <f t="shared" si="27"/>
        <v>F</v>
      </c>
      <c r="Z39" s="214" t="str">
        <f t="shared" si="27"/>
        <v>F</v>
      </c>
      <c r="AA39" s="215" t="str">
        <f t="shared" si="27"/>
        <v>F</v>
      </c>
      <c r="AB39" s="214" t="str">
        <f t="shared" si="27"/>
        <v>F</v>
      </c>
      <c r="AC39" s="214" t="str">
        <f t="shared" si="27"/>
        <v>F</v>
      </c>
      <c r="AD39" s="214" t="str">
        <f t="shared" si="27"/>
        <v>F</v>
      </c>
      <c r="AE39" s="214" t="str">
        <f t="shared" si="27"/>
        <v>F</v>
      </c>
      <c r="AF39" s="214" t="str">
        <f t="shared" si="27"/>
        <v>F</v>
      </c>
      <c r="AG39" s="214" t="str">
        <f t="shared" si="27"/>
        <v>F</v>
      </c>
      <c r="AH39" s="214" t="str">
        <f t="shared" si="27"/>
        <v>F</v>
      </c>
      <c r="AI39" s="214" t="str">
        <f t="shared" si="27"/>
        <v>F</v>
      </c>
      <c r="AJ39" s="214" t="str">
        <f t="shared" si="27"/>
        <v>F</v>
      </c>
      <c r="AK39" s="215" t="str">
        <f t="shared" si="27"/>
        <v>F</v>
      </c>
      <c r="AL39" s="214" t="str">
        <f t="shared" si="27"/>
        <v>F</v>
      </c>
      <c r="AM39" s="214" t="str">
        <f t="shared" si="27"/>
        <v>F</v>
      </c>
      <c r="AN39" s="214" t="str">
        <f t="shared" si="27"/>
        <v>F</v>
      </c>
      <c r="AO39" s="214" t="str">
        <f t="shared" si="27"/>
        <v>F</v>
      </c>
      <c r="AP39" s="214" t="str">
        <f t="shared" si="27"/>
        <v>F</v>
      </c>
      <c r="AQ39" s="214" t="str">
        <f t="shared" si="27"/>
        <v>F</v>
      </c>
      <c r="AR39" s="214" t="str">
        <f t="shared" si="27"/>
        <v>F</v>
      </c>
      <c r="AS39" s="214" t="str">
        <f t="shared" si="27"/>
        <v>F</v>
      </c>
      <c r="AT39" s="214" t="str">
        <f t="shared" si="27"/>
        <v>F</v>
      </c>
      <c r="AU39" s="215" t="str">
        <f t="shared" si="27"/>
        <v>F</v>
      </c>
      <c r="AV39" s="214" t="str">
        <f t="shared" si="27"/>
        <v>F</v>
      </c>
      <c r="AW39" s="214" t="str">
        <f t="shared" si="27"/>
        <v>F</v>
      </c>
      <c r="AX39" s="214" t="str">
        <f t="shared" si="27"/>
        <v>F</v>
      </c>
      <c r="AY39" s="214" t="str">
        <f t="shared" si="27"/>
        <v>F</v>
      </c>
      <c r="AZ39" s="214" t="str">
        <f t="shared" si="27"/>
        <v>F</v>
      </c>
      <c r="BA39" s="214" t="str">
        <f t="shared" si="27"/>
        <v>F</v>
      </c>
      <c r="BB39" s="214" t="str">
        <f t="shared" si="27"/>
        <v>F</v>
      </c>
      <c r="BC39" s="214" t="str">
        <f t="shared" si="27"/>
        <v>F</v>
      </c>
      <c r="BD39" s="214" t="str">
        <f t="shared" si="27"/>
        <v>F</v>
      </c>
      <c r="BE39" s="215" t="str">
        <f t="shared" si="27"/>
        <v>F</v>
      </c>
      <c r="BF39" s="214" t="str">
        <f t="shared" si="27"/>
        <v>F</v>
      </c>
      <c r="BG39" s="214" t="str">
        <f t="shared" si="27"/>
        <v>F</v>
      </c>
      <c r="BH39" s="214" t="str">
        <f t="shared" si="27"/>
        <v>F</v>
      </c>
      <c r="BI39" s="214" t="str">
        <f t="shared" si="27"/>
        <v>F</v>
      </c>
      <c r="BJ39" s="214" t="str">
        <f t="shared" si="27"/>
        <v>F</v>
      </c>
      <c r="BK39" s="214" t="str">
        <f t="shared" si="27"/>
        <v>F</v>
      </c>
      <c r="BL39" s="214" t="str">
        <f t="shared" si="27"/>
        <v>F</v>
      </c>
      <c r="BM39" s="214" t="str">
        <f t="shared" si="27"/>
        <v>F</v>
      </c>
      <c r="BN39" s="214" t="str">
        <f t="shared" si="27"/>
        <v>F</v>
      </c>
      <c r="BO39" s="215" t="str">
        <f t="shared" si="27"/>
        <v>T</v>
      </c>
      <c r="BP39" s="214" t="str">
        <f t="shared" si="27"/>
        <v>T</v>
      </c>
      <c r="BQ39" s="214" t="str">
        <f t="shared" si="27"/>
        <v>T</v>
      </c>
      <c r="BR39" s="214" t="str">
        <f t="shared" si="27"/>
        <v>T</v>
      </c>
      <c r="BS39" s="214" t="str">
        <f t="shared" ref="BS39:DC39" si="28">IF(AND(BS$3&gt;=$E39,BS$3&lt;=$F39),"T","F")</f>
        <v>T</v>
      </c>
      <c r="BT39" s="214" t="str">
        <f t="shared" si="28"/>
        <v>T</v>
      </c>
      <c r="BU39" s="214" t="str">
        <f t="shared" si="28"/>
        <v>T</v>
      </c>
      <c r="BV39" s="214" t="str">
        <f t="shared" si="28"/>
        <v>T</v>
      </c>
      <c r="BW39" s="214" t="str">
        <f t="shared" si="28"/>
        <v>T</v>
      </c>
      <c r="BX39" s="214" t="str">
        <f t="shared" si="28"/>
        <v>T</v>
      </c>
      <c r="BY39" s="215" t="str">
        <f t="shared" si="28"/>
        <v>T</v>
      </c>
      <c r="BZ39" s="214" t="str">
        <f t="shared" si="28"/>
        <v>T</v>
      </c>
      <c r="CA39" s="214" t="str">
        <f t="shared" si="28"/>
        <v>T</v>
      </c>
      <c r="CB39" s="214" t="str">
        <f t="shared" si="28"/>
        <v>T</v>
      </c>
      <c r="CC39" s="214" t="str">
        <f t="shared" si="28"/>
        <v>T</v>
      </c>
      <c r="CD39" s="214" t="str">
        <f t="shared" si="28"/>
        <v>T</v>
      </c>
      <c r="CE39" s="214" t="str">
        <f t="shared" si="28"/>
        <v>T</v>
      </c>
      <c r="CF39" s="214" t="str">
        <f t="shared" si="28"/>
        <v>T</v>
      </c>
      <c r="CG39" s="214" t="str">
        <f t="shared" si="28"/>
        <v>T</v>
      </c>
      <c r="CH39" s="214" t="str">
        <f t="shared" si="28"/>
        <v>T</v>
      </c>
      <c r="CI39" s="215" t="str">
        <f t="shared" si="28"/>
        <v>T</v>
      </c>
      <c r="CJ39" s="214" t="str">
        <f t="shared" si="28"/>
        <v>F</v>
      </c>
      <c r="CK39" s="214" t="str">
        <f t="shared" si="28"/>
        <v>F</v>
      </c>
      <c r="CL39" s="214" t="str">
        <f t="shared" si="28"/>
        <v>F</v>
      </c>
      <c r="CM39" s="214" t="str">
        <f t="shared" si="28"/>
        <v>F</v>
      </c>
      <c r="CN39" s="214" t="str">
        <f t="shared" si="28"/>
        <v>F</v>
      </c>
      <c r="CO39" s="214" t="str">
        <f t="shared" si="28"/>
        <v>F</v>
      </c>
      <c r="CP39" s="214" t="str">
        <f t="shared" si="28"/>
        <v>F</v>
      </c>
      <c r="CQ39" s="214" t="str">
        <f t="shared" si="28"/>
        <v>F</v>
      </c>
      <c r="CR39" s="214" t="str">
        <f t="shared" si="28"/>
        <v>F</v>
      </c>
      <c r="CS39" s="215" t="str">
        <f t="shared" si="28"/>
        <v>F</v>
      </c>
      <c r="CT39" s="214" t="str">
        <f t="shared" si="28"/>
        <v>F</v>
      </c>
      <c r="CU39" s="214" t="str">
        <f t="shared" si="28"/>
        <v>F</v>
      </c>
      <c r="CV39" s="214" t="str">
        <f t="shared" si="28"/>
        <v>F</v>
      </c>
      <c r="CW39" s="214" t="str">
        <f t="shared" si="28"/>
        <v>F</v>
      </c>
      <c r="CX39" s="214" t="str">
        <f t="shared" si="28"/>
        <v>F</v>
      </c>
      <c r="CY39" s="214" t="str">
        <f t="shared" si="28"/>
        <v>F</v>
      </c>
      <c r="CZ39" s="214" t="str">
        <f t="shared" si="28"/>
        <v>F</v>
      </c>
      <c r="DA39" s="214" t="str">
        <f t="shared" si="28"/>
        <v>F</v>
      </c>
      <c r="DB39" s="214" t="str">
        <f t="shared" si="28"/>
        <v>F</v>
      </c>
      <c r="DC39" s="216" t="str">
        <f t="shared" si="28"/>
        <v>F</v>
      </c>
    </row>
    <row r="40" spans="2:111" s="220" customFormat="1" x14ac:dyDescent="0.2">
      <c r="B40" s="221"/>
      <c r="C40" s="232"/>
      <c r="D40" s="212"/>
      <c r="E40" s="253"/>
      <c r="F40" s="213"/>
      <c r="G40" s="226"/>
      <c r="H40" s="227"/>
      <c r="I40" s="227"/>
      <c r="J40" s="227"/>
      <c r="K40" s="227"/>
      <c r="L40" s="227"/>
      <c r="M40" s="227"/>
      <c r="N40" s="227"/>
      <c r="O40" s="227"/>
      <c r="P40" s="227"/>
      <c r="Q40" s="228"/>
      <c r="R40" s="227"/>
      <c r="S40" s="227"/>
      <c r="T40" s="227"/>
      <c r="U40" s="227"/>
      <c r="V40" s="227"/>
      <c r="W40" s="227"/>
      <c r="X40" s="227"/>
      <c r="Y40" s="227"/>
      <c r="Z40" s="227"/>
      <c r="AA40" s="228"/>
      <c r="AB40" s="227"/>
      <c r="AC40" s="227"/>
      <c r="AD40" s="227"/>
      <c r="AE40" s="227"/>
      <c r="AF40" s="227"/>
      <c r="AG40" s="227"/>
      <c r="AH40" s="227"/>
      <c r="AI40" s="227"/>
      <c r="AJ40" s="227"/>
      <c r="AK40" s="228"/>
      <c r="AL40" s="227"/>
      <c r="AM40" s="227"/>
      <c r="AN40" s="227"/>
      <c r="AO40" s="227"/>
      <c r="AP40" s="227"/>
      <c r="AQ40" s="227"/>
      <c r="AR40" s="227"/>
      <c r="AS40" s="227"/>
      <c r="AT40" s="227"/>
      <c r="AU40" s="228"/>
      <c r="AV40" s="227"/>
      <c r="AW40" s="227"/>
      <c r="AX40" s="227"/>
      <c r="AY40" s="227"/>
      <c r="AZ40" s="227"/>
      <c r="BA40" s="227"/>
      <c r="BB40" s="227"/>
      <c r="BC40" s="227"/>
      <c r="BD40" s="227"/>
      <c r="BE40" s="228"/>
      <c r="BF40" s="227"/>
      <c r="BG40" s="227"/>
      <c r="BH40" s="227"/>
      <c r="BI40" s="227"/>
      <c r="BJ40" s="227"/>
      <c r="BK40" s="227"/>
      <c r="BL40" s="227"/>
      <c r="BM40" s="227"/>
      <c r="BN40" s="227"/>
      <c r="BO40" s="228"/>
      <c r="BP40" s="227"/>
      <c r="BQ40" s="227"/>
      <c r="BR40" s="227"/>
      <c r="BS40" s="227"/>
      <c r="BT40" s="227"/>
      <c r="BU40" s="227"/>
      <c r="BV40" s="227"/>
      <c r="BW40" s="227"/>
      <c r="BX40" s="227"/>
      <c r="BY40" s="228"/>
      <c r="BZ40" s="227"/>
      <c r="CA40" s="227"/>
      <c r="CB40" s="227"/>
      <c r="CC40" s="227"/>
      <c r="CD40" s="227"/>
      <c r="CE40" s="227"/>
      <c r="CF40" s="227"/>
      <c r="CG40" s="227"/>
      <c r="CH40" s="227"/>
      <c r="CI40" s="228"/>
      <c r="CJ40" s="227"/>
      <c r="CK40" s="227"/>
      <c r="CL40" s="227"/>
      <c r="CM40" s="227"/>
      <c r="CN40" s="227"/>
      <c r="CO40" s="227"/>
      <c r="CP40" s="227"/>
      <c r="CQ40" s="227"/>
      <c r="CR40" s="227"/>
      <c r="CS40" s="228"/>
      <c r="CT40" s="227"/>
      <c r="CU40" s="227"/>
      <c r="CV40" s="227"/>
      <c r="CW40" s="227"/>
      <c r="CX40" s="227"/>
      <c r="CY40" s="227"/>
      <c r="CZ40" s="227"/>
      <c r="DA40" s="227"/>
      <c r="DB40" s="227"/>
      <c r="DC40" s="229"/>
      <c r="DD40" s="233"/>
      <c r="DE40" s="233"/>
      <c r="DF40" s="233"/>
      <c r="DG40" s="233"/>
    </row>
    <row r="41" spans="2:111" ht="12.75" customHeight="1" x14ac:dyDescent="0.2">
      <c r="B41" s="211"/>
      <c r="C41" s="614" t="str">
        <f>'Technology Matrix'!A27</f>
        <v>Waste Reduction Toilets</v>
      </c>
      <c r="D41" s="212" t="str">
        <f>'Technology Matrix'!B27</f>
        <v>Toilets: Composting</v>
      </c>
      <c r="E41" s="253">
        <f>'Technology Matrix'!S27</f>
        <v>70</v>
      </c>
      <c r="F41" s="213">
        <f>'Technology Matrix'!T27</f>
        <v>80</v>
      </c>
      <c r="G41" s="215" t="str">
        <f t="shared" ref="G41:BR47" si="29">IF(AND(G$3&gt;=$E41,G$3&lt;=$F41),"T","F")</f>
        <v>F</v>
      </c>
      <c r="H41" s="214" t="str">
        <f t="shared" si="29"/>
        <v>F</v>
      </c>
      <c r="I41" s="214" t="str">
        <f t="shared" si="29"/>
        <v>F</v>
      </c>
      <c r="J41" s="214" t="str">
        <f t="shared" si="29"/>
        <v>F</v>
      </c>
      <c r="K41" s="214" t="str">
        <f t="shared" si="29"/>
        <v>F</v>
      </c>
      <c r="L41" s="214" t="str">
        <f t="shared" si="29"/>
        <v>F</v>
      </c>
      <c r="M41" s="214" t="str">
        <f t="shared" si="29"/>
        <v>F</v>
      </c>
      <c r="N41" s="214" t="str">
        <f t="shared" si="29"/>
        <v>F</v>
      </c>
      <c r="O41" s="214" t="str">
        <f t="shared" si="29"/>
        <v>F</v>
      </c>
      <c r="P41" s="214" t="str">
        <f t="shared" si="29"/>
        <v>F</v>
      </c>
      <c r="Q41" s="215" t="str">
        <f t="shared" ref="Q41:Q47" si="30">IF(AND(Q$3&gt;=$E41,Q$3&lt;=$F41),"T","F")</f>
        <v>F</v>
      </c>
      <c r="R41" s="214" t="str">
        <f t="shared" si="29"/>
        <v>F</v>
      </c>
      <c r="S41" s="214" t="str">
        <f t="shared" si="29"/>
        <v>F</v>
      </c>
      <c r="T41" s="214" t="str">
        <f t="shared" si="29"/>
        <v>F</v>
      </c>
      <c r="U41" s="214" t="str">
        <f t="shared" si="29"/>
        <v>F</v>
      </c>
      <c r="V41" s="214" t="str">
        <f t="shared" si="29"/>
        <v>F</v>
      </c>
      <c r="W41" s="214" t="str">
        <f t="shared" si="29"/>
        <v>F</v>
      </c>
      <c r="X41" s="214" t="str">
        <f t="shared" si="29"/>
        <v>F</v>
      </c>
      <c r="Y41" s="214" t="str">
        <f t="shared" si="29"/>
        <v>F</v>
      </c>
      <c r="Z41" s="214" t="str">
        <f t="shared" si="29"/>
        <v>F</v>
      </c>
      <c r="AA41" s="215" t="str">
        <f t="shared" si="29"/>
        <v>F</v>
      </c>
      <c r="AB41" s="214" t="str">
        <f t="shared" si="29"/>
        <v>F</v>
      </c>
      <c r="AC41" s="214" t="str">
        <f t="shared" si="29"/>
        <v>F</v>
      </c>
      <c r="AD41" s="214" t="str">
        <f t="shared" si="29"/>
        <v>F</v>
      </c>
      <c r="AE41" s="214" t="str">
        <f t="shared" si="29"/>
        <v>F</v>
      </c>
      <c r="AF41" s="214" t="str">
        <f t="shared" si="29"/>
        <v>F</v>
      </c>
      <c r="AG41" s="214" t="str">
        <f t="shared" si="29"/>
        <v>F</v>
      </c>
      <c r="AH41" s="214" t="str">
        <f t="shared" si="29"/>
        <v>F</v>
      </c>
      <c r="AI41" s="214" t="str">
        <f t="shared" si="29"/>
        <v>F</v>
      </c>
      <c r="AJ41" s="214" t="str">
        <f t="shared" si="29"/>
        <v>F</v>
      </c>
      <c r="AK41" s="215" t="str">
        <f t="shared" si="29"/>
        <v>F</v>
      </c>
      <c r="AL41" s="214" t="str">
        <f t="shared" si="29"/>
        <v>F</v>
      </c>
      <c r="AM41" s="214" t="str">
        <f t="shared" si="29"/>
        <v>F</v>
      </c>
      <c r="AN41" s="214" t="str">
        <f t="shared" si="29"/>
        <v>F</v>
      </c>
      <c r="AO41" s="214" t="str">
        <f t="shared" si="29"/>
        <v>F</v>
      </c>
      <c r="AP41" s="214" t="str">
        <f t="shared" si="29"/>
        <v>F</v>
      </c>
      <c r="AQ41" s="214" t="str">
        <f t="shared" si="29"/>
        <v>F</v>
      </c>
      <c r="AR41" s="214" t="str">
        <f t="shared" si="29"/>
        <v>F</v>
      </c>
      <c r="AS41" s="214" t="str">
        <f t="shared" si="29"/>
        <v>F</v>
      </c>
      <c r="AT41" s="214" t="str">
        <f t="shared" si="29"/>
        <v>F</v>
      </c>
      <c r="AU41" s="215" t="str">
        <f t="shared" si="29"/>
        <v>F</v>
      </c>
      <c r="AV41" s="214" t="str">
        <f t="shared" si="29"/>
        <v>F</v>
      </c>
      <c r="AW41" s="214" t="str">
        <f t="shared" si="29"/>
        <v>F</v>
      </c>
      <c r="AX41" s="214" t="str">
        <f t="shared" si="29"/>
        <v>F</v>
      </c>
      <c r="AY41" s="214" t="str">
        <f t="shared" si="29"/>
        <v>F</v>
      </c>
      <c r="AZ41" s="214" t="str">
        <f t="shared" si="29"/>
        <v>F</v>
      </c>
      <c r="BA41" s="214" t="str">
        <f t="shared" si="29"/>
        <v>F</v>
      </c>
      <c r="BB41" s="214" t="str">
        <f t="shared" si="29"/>
        <v>F</v>
      </c>
      <c r="BC41" s="214" t="str">
        <f t="shared" si="29"/>
        <v>F</v>
      </c>
      <c r="BD41" s="214" t="str">
        <f t="shared" si="29"/>
        <v>F</v>
      </c>
      <c r="BE41" s="215" t="str">
        <f t="shared" si="29"/>
        <v>F</v>
      </c>
      <c r="BF41" s="214" t="str">
        <f t="shared" si="29"/>
        <v>F</v>
      </c>
      <c r="BG41" s="214" t="str">
        <f t="shared" si="29"/>
        <v>F</v>
      </c>
      <c r="BH41" s="214" t="str">
        <f t="shared" si="29"/>
        <v>F</v>
      </c>
      <c r="BI41" s="214" t="str">
        <f t="shared" si="29"/>
        <v>F</v>
      </c>
      <c r="BJ41" s="214" t="str">
        <f t="shared" si="29"/>
        <v>F</v>
      </c>
      <c r="BK41" s="214" t="str">
        <f t="shared" si="29"/>
        <v>F</v>
      </c>
      <c r="BL41" s="214" t="str">
        <f t="shared" si="29"/>
        <v>F</v>
      </c>
      <c r="BM41" s="214" t="str">
        <f t="shared" si="29"/>
        <v>F</v>
      </c>
      <c r="BN41" s="214" t="str">
        <f t="shared" si="29"/>
        <v>F</v>
      </c>
      <c r="BO41" s="215" t="str">
        <f t="shared" si="29"/>
        <v>F</v>
      </c>
      <c r="BP41" s="214" t="str">
        <f t="shared" si="29"/>
        <v>F</v>
      </c>
      <c r="BQ41" s="214" t="str">
        <f t="shared" si="29"/>
        <v>F</v>
      </c>
      <c r="BR41" s="214" t="str">
        <f t="shared" si="29"/>
        <v>F</v>
      </c>
      <c r="BS41" s="214" t="str">
        <f t="shared" ref="BS41:DC47" si="31">IF(AND(BS$3&gt;=$E41,BS$3&lt;=$F41),"T","F")</f>
        <v>F</v>
      </c>
      <c r="BT41" s="214" t="str">
        <f t="shared" si="31"/>
        <v>F</v>
      </c>
      <c r="BU41" s="214" t="str">
        <f t="shared" si="31"/>
        <v>F</v>
      </c>
      <c r="BV41" s="214" t="str">
        <f t="shared" si="31"/>
        <v>F</v>
      </c>
      <c r="BW41" s="214" t="str">
        <f t="shared" si="31"/>
        <v>F</v>
      </c>
      <c r="BX41" s="214" t="str">
        <f t="shared" si="31"/>
        <v>F</v>
      </c>
      <c r="BY41" s="215" t="str">
        <f t="shared" si="31"/>
        <v>T</v>
      </c>
      <c r="BZ41" s="214" t="str">
        <f t="shared" si="31"/>
        <v>T</v>
      </c>
      <c r="CA41" s="214" t="str">
        <f t="shared" si="31"/>
        <v>T</v>
      </c>
      <c r="CB41" s="214" t="str">
        <f t="shared" si="31"/>
        <v>T</v>
      </c>
      <c r="CC41" s="214" t="str">
        <f t="shared" si="31"/>
        <v>T</v>
      </c>
      <c r="CD41" s="214" t="str">
        <f t="shared" si="31"/>
        <v>T</v>
      </c>
      <c r="CE41" s="214" t="str">
        <f t="shared" si="31"/>
        <v>T</v>
      </c>
      <c r="CF41" s="214" t="str">
        <f t="shared" si="31"/>
        <v>T</v>
      </c>
      <c r="CG41" s="214" t="str">
        <f t="shared" si="31"/>
        <v>T</v>
      </c>
      <c r="CH41" s="214" t="str">
        <f t="shared" si="31"/>
        <v>T</v>
      </c>
      <c r="CI41" s="215" t="str">
        <f t="shared" si="31"/>
        <v>T</v>
      </c>
      <c r="CJ41" s="214" t="str">
        <f t="shared" si="31"/>
        <v>F</v>
      </c>
      <c r="CK41" s="214" t="str">
        <f t="shared" si="31"/>
        <v>F</v>
      </c>
      <c r="CL41" s="214" t="str">
        <f t="shared" si="31"/>
        <v>F</v>
      </c>
      <c r="CM41" s="214" t="str">
        <f t="shared" si="31"/>
        <v>F</v>
      </c>
      <c r="CN41" s="214" t="str">
        <f t="shared" si="31"/>
        <v>F</v>
      </c>
      <c r="CO41" s="214" t="str">
        <f t="shared" si="31"/>
        <v>F</v>
      </c>
      <c r="CP41" s="214" t="str">
        <f t="shared" si="31"/>
        <v>F</v>
      </c>
      <c r="CQ41" s="214" t="str">
        <f t="shared" si="31"/>
        <v>F</v>
      </c>
      <c r="CR41" s="214" t="str">
        <f t="shared" si="31"/>
        <v>F</v>
      </c>
      <c r="CS41" s="215" t="str">
        <f t="shared" si="31"/>
        <v>F</v>
      </c>
      <c r="CT41" s="214" t="str">
        <f t="shared" si="31"/>
        <v>F</v>
      </c>
      <c r="CU41" s="214" t="str">
        <f t="shared" si="31"/>
        <v>F</v>
      </c>
      <c r="CV41" s="214" t="str">
        <f t="shared" si="31"/>
        <v>F</v>
      </c>
      <c r="CW41" s="214" t="str">
        <f t="shared" si="31"/>
        <v>F</v>
      </c>
      <c r="CX41" s="214" t="str">
        <f t="shared" si="31"/>
        <v>F</v>
      </c>
      <c r="CY41" s="214" t="str">
        <f t="shared" si="31"/>
        <v>F</v>
      </c>
      <c r="CZ41" s="214" t="str">
        <f t="shared" si="31"/>
        <v>F</v>
      </c>
      <c r="DA41" s="214" t="str">
        <f t="shared" si="31"/>
        <v>F</v>
      </c>
      <c r="DB41" s="214" t="str">
        <f t="shared" si="31"/>
        <v>F</v>
      </c>
      <c r="DC41" s="216" t="str">
        <f t="shared" si="31"/>
        <v>F</v>
      </c>
    </row>
    <row r="42" spans="2:111" x14ac:dyDescent="0.2">
      <c r="B42" s="211"/>
      <c r="C42" s="614"/>
      <c r="D42" s="212"/>
      <c r="E42" s="253"/>
      <c r="F42" s="213"/>
      <c r="G42" s="226"/>
      <c r="H42" s="227"/>
      <c r="I42" s="227"/>
      <c r="J42" s="227"/>
      <c r="K42" s="227"/>
      <c r="L42" s="227"/>
      <c r="M42" s="227"/>
      <c r="N42" s="227"/>
      <c r="O42" s="227"/>
      <c r="P42" s="227"/>
      <c r="Q42" s="228"/>
      <c r="R42" s="227"/>
      <c r="S42" s="227"/>
      <c r="T42" s="227"/>
      <c r="U42" s="227"/>
      <c r="V42" s="227"/>
      <c r="W42" s="227"/>
      <c r="X42" s="227"/>
      <c r="Y42" s="227"/>
      <c r="Z42" s="227"/>
      <c r="AA42" s="228"/>
      <c r="AB42" s="227"/>
      <c r="AC42" s="227"/>
      <c r="AD42" s="227"/>
      <c r="AE42" s="227"/>
      <c r="AF42" s="227"/>
      <c r="AG42" s="227"/>
      <c r="AH42" s="227"/>
      <c r="AI42" s="227"/>
      <c r="AJ42" s="227"/>
      <c r="AK42" s="228"/>
      <c r="AL42" s="227"/>
      <c r="AM42" s="227"/>
      <c r="AN42" s="227"/>
      <c r="AO42" s="227"/>
      <c r="AP42" s="227"/>
      <c r="AQ42" s="227"/>
      <c r="AR42" s="227"/>
      <c r="AS42" s="227"/>
      <c r="AT42" s="227"/>
      <c r="AU42" s="228"/>
      <c r="AV42" s="227"/>
      <c r="AW42" s="227"/>
      <c r="AX42" s="227"/>
      <c r="AY42" s="227"/>
      <c r="AZ42" s="227"/>
      <c r="BA42" s="227"/>
      <c r="BB42" s="227"/>
      <c r="BC42" s="227"/>
      <c r="BD42" s="227"/>
      <c r="BE42" s="228"/>
      <c r="BF42" s="227"/>
      <c r="BG42" s="227"/>
      <c r="BH42" s="227"/>
      <c r="BI42" s="227"/>
      <c r="BJ42" s="227"/>
      <c r="BK42" s="227"/>
      <c r="BL42" s="227"/>
      <c r="BM42" s="227"/>
      <c r="BN42" s="227"/>
      <c r="BO42" s="228"/>
      <c r="BP42" s="227"/>
      <c r="BQ42" s="227"/>
      <c r="BR42" s="227"/>
      <c r="BS42" s="227"/>
      <c r="BT42" s="227"/>
      <c r="BU42" s="227"/>
      <c r="BV42" s="227"/>
      <c r="BW42" s="227"/>
      <c r="BX42" s="227"/>
      <c r="BY42" s="228"/>
      <c r="BZ42" s="227"/>
      <c r="CA42" s="227"/>
      <c r="CB42" s="227"/>
      <c r="CC42" s="227"/>
      <c r="CD42" s="227"/>
      <c r="CE42" s="227"/>
      <c r="CF42" s="227"/>
      <c r="CG42" s="227"/>
      <c r="CH42" s="227"/>
      <c r="CI42" s="228"/>
      <c r="CJ42" s="227"/>
      <c r="CK42" s="227"/>
      <c r="CL42" s="227"/>
      <c r="CM42" s="227"/>
      <c r="CN42" s="227"/>
      <c r="CO42" s="227"/>
      <c r="CP42" s="227"/>
      <c r="CQ42" s="227"/>
      <c r="CR42" s="227"/>
      <c r="CS42" s="228"/>
      <c r="CT42" s="227"/>
      <c r="CU42" s="227"/>
      <c r="CV42" s="227"/>
      <c r="CW42" s="227"/>
      <c r="CX42" s="227"/>
      <c r="CY42" s="227"/>
      <c r="CZ42" s="227"/>
      <c r="DA42" s="227"/>
      <c r="DB42" s="227"/>
      <c r="DC42" s="229"/>
    </row>
    <row r="43" spans="2:111" x14ac:dyDescent="0.2">
      <c r="B43" s="211"/>
      <c r="C43" s="614"/>
      <c r="D43" s="212" t="str">
        <f>'Technology Matrix'!B28</f>
        <v>Toilets: Incinerating</v>
      </c>
      <c r="E43" s="253">
        <f>'Technology Matrix'!S28</f>
        <v>70</v>
      </c>
      <c r="F43" s="213">
        <f>'Technology Matrix'!T28</f>
        <v>80</v>
      </c>
      <c r="G43" s="215" t="str">
        <f t="shared" si="29"/>
        <v>F</v>
      </c>
      <c r="H43" s="214" t="str">
        <f t="shared" si="29"/>
        <v>F</v>
      </c>
      <c r="I43" s="214" t="str">
        <f t="shared" si="29"/>
        <v>F</v>
      </c>
      <c r="J43" s="214" t="str">
        <f t="shared" si="29"/>
        <v>F</v>
      </c>
      <c r="K43" s="214" t="str">
        <f t="shared" si="29"/>
        <v>F</v>
      </c>
      <c r="L43" s="214" t="str">
        <f t="shared" si="29"/>
        <v>F</v>
      </c>
      <c r="M43" s="214" t="str">
        <f t="shared" si="29"/>
        <v>F</v>
      </c>
      <c r="N43" s="214" t="str">
        <f t="shared" si="29"/>
        <v>F</v>
      </c>
      <c r="O43" s="214" t="str">
        <f t="shared" si="29"/>
        <v>F</v>
      </c>
      <c r="P43" s="214" t="str">
        <f t="shared" si="29"/>
        <v>F</v>
      </c>
      <c r="Q43" s="215" t="str">
        <f t="shared" si="30"/>
        <v>F</v>
      </c>
      <c r="R43" s="214" t="str">
        <f t="shared" si="29"/>
        <v>F</v>
      </c>
      <c r="S43" s="214" t="str">
        <f t="shared" si="29"/>
        <v>F</v>
      </c>
      <c r="T43" s="214" t="str">
        <f t="shared" si="29"/>
        <v>F</v>
      </c>
      <c r="U43" s="214" t="str">
        <f t="shared" si="29"/>
        <v>F</v>
      </c>
      <c r="V43" s="214" t="str">
        <f t="shared" si="29"/>
        <v>F</v>
      </c>
      <c r="W43" s="214" t="str">
        <f t="shared" si="29"/>
        <v>F</v>
      </c>
      <c r="X43" s="214" t="str">
        <f t="shared" si="29"/>
        <v>F</v>
      </c>
      <c r="Y43" s="214" t="str">
        <f t="shared" si="29"/>
        <v>F</v>
      </c>
      <c r="Z43" s="214" t="str">
        <f t="shared" si="29"/>
        <v>F</v>
      </c>
      <c r="AA43" s="215" t="str">
        <f t="shared" si="29"/>
        <v>F</v>
      </c>
      <c r="AB43" s="214" t="str">
        <f t="shared" si="29"/>
        <v>F</v>
      </c>
      <c r="AC43" s="214" t="str">
        <f t="shared" si="29"/>
        <v>F</v>
      </c>
      <c r="AD43" s="214" t="str">
        <f t="shared" si="29"/>
        <v>F</v>
      </c>
      <c r="AE43" s="214" t="str">
        <f t="shared" si="29"/>
        <v>F</v>
      </c>
      <c r="AF43" s="214" t="str">
        <f t="shared" si="29"/>
        <v>F</v>
      </c>
      <c r="AG43" s="214" t="str">
        <f t="shared" si="29"/>
        <v>F</v>
      </c>
      <c r="AH43" s="214" t="str">
        <f t="shared" si="29"/>
        <v>F</v>
      </c>
      <c r="AI43" s="214" t="str">
        <f t="shared" si="29"/>
        <v>F</v>
      </c>
      <c r="AJ43" s="214" t="str">
        <f t="shared" si="29"/>
        <v>F</v>
      </c>
      <c r="AK43" s="215" t="str">
        <f t="shared" si="29"/>
        <v>F</v>
      </c>
      <c r="AL43" s="214" t="str">
        <f t="shared" si="29"/>
        <v>F</v>
      </c>
      <c r="AM43" s="214" t="str">
        <f t="shared" si="29"/>
        <v>F</v>
      </c>
      <c r="AN43" s="214" t="str">
        <f t="shared" si="29"/>
        <v>F</v>
      </c>
      <c r="AO43" s="214" t="str">
        <f t="shared" si="29"/>
        <v>F</v>
      </c>
      <c r="AP43" s="214" t="str">
        <f t="shared" si="29"/>
        <v>F</v>
      </c>
      <c r="AQ43" s="214" t="str">
        <f t="shared" si="29"/>
        <v>F</v>
      </c>
      <c r="AR43" s="214" t="str">
        <f t="shared" si="29"/>
        <v>F</v>
      </c>
      <c r="AS43" s="214" t="str">
        <f t="shared" si="29"/>
        <v>F</v>
      </c>
      <c r="AT43" s="214" t="str">
        <f t="shared" si="29"/>
        <v>F</v>
      </c>
      <c r="AU43" s="215" t="str">
        <f t="shared" si="29"/>
        <v>F</v>
      </c>
      <c r="AV43" s="214" t="str">
        <f t="shared" si="29"/>
        <v>F</v>
      </c>
      <c r="AW43" s="214" t="str">
        <f t="shared" si="29"/>
        <v>F</v>
      </c>
      <c r="AX43" s="214" t="str">
        <f t="shared" si="29"/>
        <v>F</v>
      </c>
      <c r="AY43" s="214" t="str">
        <f t="shared" si="29"/>
        <v>F</v>
      </c>
      <c r="AZ43" s="214" t="str">
        <f t="shared" si="29"/>
        <v>F</v>
      </c>
      <c r="BA43" s="214" t="str">
        <f t="shared" si="29"/>
        <v>F</v>
      </c>
      <c r="BB43" s="214" t="str">
        <f t="shared" si="29"/>
        <v>F</v>
      </c>
      <c r="BC43" s="214" t="str">
        <f t="shared" si="29"/>
        <v>F</v>
      </c>
      <c r="BD43" s="214" t="str">
        <f t="shared" si="29"/>
        <v>F</v>
      </c>
      <c r="BE43" s="215" t="str">
        <f t="shared" si="29"/>
        <v>F</v>
      </c>
      <c r="BF43" s="214" t="str">
        <f t="shared" si="29"/>
        <v>F</v>
      </c>
      <c r="BG43" s="214" t="str">
        <f t="shared" si="29"/>
        <v>F</v>
      </c>
      <c r="BH43" s="214" t="str">
        <f t="shared" si="29"/>
        <v>F</v>
      </c>
      <c r="BI43" s="214" t="str">
        <f t="shared" si="29"/>
        <v>F</v>
      </c>
      <c r="BJ43" s="214" t="str">
        <f t="shared" si="29"/>
        <v>F</v>
      </c>
      <c r="BK43" s="214" t="str">
        <f t="shared" si="29"/>
        <v>F</v>
      </c>
      <c r="BL43" s="214" t="str">
        <f t="shared" si="29"/>
        <v>F</v>
      </c>
      <c r="BM43" s="214" t="str">
        <f t="shared" si="29"/>
        <v>F</v>
      </c>
      <c r="BN43" s="214" t="str">
        <f t="shared" si="29"/>
        <v>F</v>
      </c>
      <c r="BO43" s="215" t="str">
        <f t="shared" si="29"/>
        <v>F</v>
      </c>
      <c r="BP43" s="214" t="str">
        <f t="shared" si="29"/>
        <v>F</v>
      </c>
      <c r="BQ43" s="214" t="str">
        <f t="shared" si="29"/>
        <v>F</v>
      </c>
      <c r="BR43" s="214" t="str">
        <f t="shared" si="29"/>
        <v>F</v>
      </c>
      <c r="BS43" s="214" t="str">
        <f t="shared" si="31"/>
        <v>F</v>
      </c>
      <c r="BT43" s="214" t="str">
        <f t="shared" si="31"/>
        <v>F</v>
      </c>
      <c r="BU43" s="214" t="str">
        <f t="shared" si="31"/>
        <v>F</v>
      </c>
      <c r="BV43" s="214" t="str">
        <f t="shared" si="31"/>
        <v>F</v>
      </c>
      <c r="BW43" s="214" t="str">
        <f t="shared" si="31"/>
        <v>F</v>
      </c>
      <c r="BX43" s="214" t="str">
        <f t="shared" si="31"/>
        <v>F</v>
      </c>
      <c r="BY43" s="215" t="str">
        <f t="shared" si="31"/>
        <v>T</v>
      </c>
      <c r="BZ43" s="214" t="str">
        <f t="shared" si="31"/>
        <v>T</v>
      </c>
      <c r="CA43" s="214" t="str">
        <f t="shared" si="31"/>
        <v>T</v>
      </c>
      <c r="CB43" s="214" t="str">
        <f t="shared" si="31"/>
        <v>T</v>
      </c>
      <c r="CC43" s="214" t="str">
        <f t="shared" si="31"/>
        <v>T</v>
      </c>
      <c r="CD43" s="214" t="str">
        <f t="shared" si="31"/>
        <v>T</v>
      </c>
      <c r="CE43" s="214" t="str">
        <f t="shared" si="31"/>
        <v>T</v>
      </c>
      <c r="CF43" s="214" t="str">
        <f t="shared" si="31"/>
        <v>T</v>
      </c>
      <c r="CG43" s="214" t="str">
        <f t="shared" si="31"/>
        <v>T</v>
      </c>
      <c r="CH43" s="214" t="str">
        <f t="shared" si="31"/>
        <v>T</v>
      </c>
      <c r="CI43" s="215" t="str">
        <f t="shared" si="31"/>
        <v>T</v>
      </c>
      <c r="CJ43" s="214" t="str">
        <f t="shared" si="31"/>
        <v>F</v>
      </c>
      <c r="CK43" s="214" t="str">
        <f t="shared" si="31"/>
        <v>F</v>
      </c>
      <c r="CL43" s="214" t="str">
        <f t="shared" si="31"/>
        <v>F</v>
      </c>
      <c r="CM43" s="214" t="str">
        <f t="shared" si="31"/>
        <v>F</v>
      </c>
      <c r="CN43" s="214" t="str">
        <f t="shared" si="31"/>
        <v>F</v>
      </c>
      <c r="CO43" s="214" t="str">
        <f t="shared" si="31"/>
        <v>F</v>
      </c>
      <c r="CP43" s="214" t="str">
        <f t="shared" si="31"/>
        <v>F</v>
      </c>
      <c r="CQ43" s="214" t="str">
        <f t="shared" si="31"/>
        <v>F</v>
      </c>
      <c r="CR43" s="214" t="str">
        <f t="shared" si="31"/>
        <v>F</v>
      </c>
      <c r="CS43" s="215" t="str">
        <f t="shared" si="31"/>
        <v>F</v>
      </c>
      <c r="CT43" s="214" t="str">
        <f t="shared" si="31"/>
        <v>F</v>
      </c>
      <c r="CU43" s="214" t="str">
        <f t="shared" si="31"/>
        <v>F</v>
      </c>
      <c r="CV43" s="214" t="str">
        <f t="shared" si="31"/>
        <v>F</v>
      </c>
      <c r="CW43" s="214" t="str">
        <f t="shared" si="31"/>
        <v>F</v>
      </c>
      <c r="CX43" s="214" t="str">
        <f t="shared" si="31"/>
        <v>F</v>
      </c>
      <c r="CY43" s="214" t="str">
        <f t="shared" si="31"/>
        <v>F</v>
      </c>
      <c r="CZ43" s="214" t="str">
        <f t="shared" si="31"/>
        <v>F</v>
      </c>
      <c r="DA43" s="214" t="str">
        <f t="shared" si="31"/>
        <v>F</v>
      </c>
      <c r="DB43" s="214" t="str">
        <f t="shared" si="31"/>
        <v>F</v>
      </c>
      <c r="DC43" s="216" t="str">
        <f t="shared" si="31"/>
        <v>F</v>
      </c>
    </row>
    <row r="44" spans="2:111" x14ac:dyDescent="0.2">
      <c r="B44" s="211"/>
      <c r="C44" s="614"/>
      <c r="D44" s="212"/>
      <c r="E44" s="253"/>
      <c r="F44" s="213"/>
      <c r="G44" s="226"/>
      <c r="H44" s="227"/>
      <c r="I44" s="227"/>
      <c r="J44" s="227"/>
      <c r="K44" s="227"/>
      <c r="L44" s="227"/>
      <c r="M44" s="227"/>
      <c r="N44" s="227"/>
      <c r="O44" s="227"/>
      <c r="P44" s="227"/>
      <c r="Q44" s="228"/>
      <c r="R44" s="227"/>
      <c r="S44" s="227"/>
      <c r="T44" s="227"/>
      <c r="U44" s="227"/>
      <c r="V44" s="227"/>
      <c r="W44" s="227"/>
      <c r="X44" s="227"/>
      <c r="Y44" s="227"/>
      <c r="Z44" s="227"/>
      <c r="AA44" s="228"/>
      <c r="AB44" s="227"/>
      <c r="AC44" s="227"/>
      <c r="AD44" s="227"/>
      <c r="AE44" s="227"/>
      <c r="AF44" s="227"/>
      <c r="AG44" s="227"/>
      <c r="AH44" s="227"/>
      <c r="AI44" s="227"/>
      <c r="AJ44" s="227"/>
      <c r="AK44" s="228"/>
      <c r="AL44" s="227"/>
      <c r="AM44" s="227"/>
      <c r="AN44" s="227"/>
      <c r="AO44" s="227"/>
      <c r="AP44" s="227"/>
      <c r="AQ44" s="227"/>
      <c r="AR44" s="227"/>
      <c r="AS44" s="227"/>
      <c r="AT44" s="227"/>
      <c r="AU44" s="228"/>
      <c r="AV44" s="227"/>
      <c r="AW44" s="227"/>
      <c r="AX44" s="227"/>
      <c r="AY44" s="227"/>
      <c r="AZ44" s="227"/>
      <c r="BA44" s="227"/>
      <c r="BB44" s="227"/>
      <c r="BC44" s="227"/>
      <c r="BD44" s="227"/>
      <c r="BE44" s="228"/>
      <c r="BF44" s="227"/>
      <c r="BG44" s="227"/>
      <c r="BH44" s="227"/>
      <c r="BI44" s="227"/>
      <c r="BJ44" s="227"/>
      <c r="BK44" s="227"/>
      <c r="BL44" s="227"/>
      <c r="BM44" s="227"/>
      <c r="BN44" s="227"/>
      <c r="BO44" s="228"/>
      <c r="BP44" s="227"/>
      <c r="BQ44" s="227"/>
      <c r="BR44" s="227"/>
      <c r="BS44" s="227"/>
      <c r="BT44" s="227"/>
      <c r="BU44" s="227"/>
      <c r="BV44" s="227"/>
      <c r="BW44" s="227"/>
      <c r="BX44" s="227"/>
      <c r="BY44" s="228"/>
      <c r="BZ44" s="227"/>
      <c r="CA44" s="227"/>
      <c r="CB44" s="227"/>
      <c r="CC44" s="227"/>
      <c r="CD44" s="227"/>
      <c r="CE44" s="227"/>
      <c r="CF44" s="227"/>
      <c r="CG44" s="227"/>
      <c r="CH44" s="227"/>
      <c r="CI44" s="228"/>
      <c r="CJ44" s="227"/>
      <c r="CK44" s="227"/>
      <c r="CL44" s="227"/>
      <c r="CM44" s="227"/>
      <c r="CN44" s="227"/>
      <c r="CO44" s="227"/>
      <c r="CP44" s="227"/>
      <c r="CQ44" s="227"/>
      <c r="CR44" s="227"/>
      <c r="CS44" s="228"/>
      <c r="CT44" s="227"/>
      <c r="CU44" s="227"/>
      <c r="CV44" s="227"/>
      <c r="CW44" s="227"/>
      <c r="CX44" s="227"/>
      <c r="CY44" s="227"/>
      <c r="CZ44" s="227"/>
      <c r="DA44" s="227"/>
      <c r="DB44" s="227"/>
      <c r="DC44" s="229"/>
    </row>
    <row r="45" spans="2:111" x14ac:dyDescent="0.2">
      <c r="B45" s="211"/>
      <c r="C45" s="614"/>
      <c r="D45" s="212" t="str">
        <f>'Technology Matrix'!B29</f>
        <v>Toilets: Packaging</v>
      </c>
      <c r="E45" s="253">
        <f>'Technology Matrix'!S29</f>
        <v>70</v>
      </c>
      <c r="F45" s="213">
        <f>'Technology Matrix'!T29</f>
        <v>80</v>
      </c>
      <c r="G45" s="215" t="str">
        <f t="shared" si="29"/>
        <v>F</v>
      </c>
      <c r="H45" s="214" t="str">
        <f t="shared" si="29"/>
        <v>F</v>
      </c>
      <c r="I45" s="214" t="str">
        <f t="shared" si="29"/>
        <v>F</v>
      </c>
      <c r="J45" s="214" t="str">
        <f t="shared" si="29"/>
        <v>F</v>
      </c>
      <c r="K45" s="214" t="str">
        <f t="shared" si="29"/>
        <v>F</v>
      </c>
      <c r="L45" s="214" t="str">
        <f t="shared" si="29"/>
        <v>F</v>
      </c>
      <c r="M45" s="214" t="str">
        <f t="shared" si="29"/>
        <v>F</v>
      </c>
      <c r="N45" s="214" t="str">
        <f t="shared" si="29"/>
        <v>F</v>
      </c>
      <c r="O45" s="214" t="str">
        <f t="shared" si="29"/>
        <v>F</v>
      </c>
      <c r="P45" s="214" t="str">
        <f t="shared" si="29"/>
        <v>F</v>
      </c>
      <c r="Q45" s="215" t="str">
        <f t="shared" si="30"/>
        <v>F</v>
      </c>
      <c r="R45" s="214" t="str">
        <f t="shared" si="29"/>
        <v>F</v>
      </c>
      <c r="S45" s="214" t="str">
        <f t="shared" si="29"/>
        <v>F</v>
      </c>
      <c r="T45" s="214" t="str">
        <f t="shared" si="29"/>
        <v>F</v>
      </c>
      <c r="U45" s="214" t="str">
        <f t="shared" si="29"/>
        <v>F</v>
      </c>
      <c r="V45" s="214" t="str">
        <f t="shared" si="29"/>
        <v>F</v>
      </c>
      <c r="W45" s="214" t="str">
        <f t="shared" si="29"/>
        <v>F</v>
      </c>
      <c r="X45" s="214" t="str">
        <f t="shared" si="29"/>
        <v>F</v>
      </c>
      <c r="Y45" s="214" t="str">
        <f t="shared" si="29"/>
        <v>F</v>
      </c>
      <c r="Z45" s="214" t="str">
        <f t="shared" si="29"/>
        <v>F</v>
      </c>
      <c r="AA45" s="215" t="str">
        <f t="shared" si="29"/>
        <v>F</v>
      </c>
      <c r="AB45" s="214" t="str">
        <f t="shared" si="29"/>
        <v>F</v>
      </c>
      <c r="AC45" s="214" t="str">
        <f t="shared" si="29"/>
        <v>F</v>
      </c>
      <c r="AD45" s="214" t="str">
        <f t="shared" si="29"/>
        <v>F</v>
      </c>
      <c r="AE45" s="214" t="str">
        <f t="shared" si="29"/>
        <v>F</v>
      </c>
      <c r="AF45" s="214" t="str">
        <f t="shared" si="29"/>
        <v>F</v>
      </c>
      <c r="AG45" s="214" t="str">
        <f t="shared" si="29"/>
        <v>F</v>
      </c>
      <c r="AH45" s="214" t="str">
        <f t="shared" si="29"/>
        <v>F</v>
      </c>
      <c r="AI45" s="214" t="str">
        <f t="shared" si="29"/>
        <v>F</v>
      </c>
      <c r="AJ45" s="214" t="str">
        <f t="shared" si="29"/>
        <v>F</v>
      </c>
      <c r="AK45" s="215" t="str">
        <f t="shared" si="29"/>
        <v>F</v>
      </c>
      <c r="AL45" s="214" t="str">
        <f t="shared" si="29"/>
        <v>F</v>
      </c>
      <c r="AM45" s="214" t="str">
        <f t="shared" si="29"/>
        <v>F</v>
      </c>
      <c r="AN45" s="214" t="str">
        <f t="shared" si="29"/>
        <v>F</v>
      </c>
      <c r="AO45" s="214" t="str">
        <f t="shared" si="29"/>
        <v>F</v>
      </c>
      <c r="AP45" s="214" t="str">
        <f t="shared" si="29"/>
        <v>F</v>
      </c>
      <c r="AQ45" s="214" t="str">
        <f t="shared" si="29"/>
        <v>F</v>
      </c>
      <c r="AR45" s="214" t="str">
        <f t="shared" si="29"/>
        <v>F</v>
      </c>
      <c r="AS45" s="214" t="str">
        <f t="shared" si="29"/>
        <v>F</v>
      </c>
      <c r="AT45" s="214" t="str">
        <f t="shared" si="29"/>
        <v>F</v>
      </c>
      <c r="AU45" s="215" t="str">
        <f t="shared" si="29"/>
        <v>F</v>
      </c>
      <c r="AV45" s="214" t="str">
        <f t="shared" si="29"/>
        <v>F</v>
      </c>
      <c r="AW45" s="214" t="str">
        <f t="shared" si="29"/>
        <v>F</v>
      </c>
      <c r="AX45" s="214" t="str">
        <f t="shared" si="29"/>
        <v>F</v>
      </c>
      <c r="AY45" s="214" t="str">
        <f t="shared" si="29"/>
        <v>F</v>
      </c>
      <c r="AZ45" s="214" t="str">
        <f t="shared" si="29"/>
        <v>F</v>
      </c>
      <c r="BA45" s="214" t="str">
        <f t="shared" si="29"/>
        <v>F</v>
      </c>
      <c r="BB45" s="214" t="str">
        <f t="shared" si="29"/>
        <v>F</v>
      </c>
      <c r="BC45" s="214" t="str">
        <f t="shared" si="29"/>
        <v>F</v>
      </c>
      <c r="BD45" s="214" t="str">
        <f t="shared" si="29"/>
        <v>F</v>
      </c>
      <c r="BE45" s="215" t="str">
        <f t="shared" si="29"/>
        <v>F</v>
      </c>
      <c r="BF45" s="214" t="str">
        <f t="shared" si="29"/>
        <v>F</v>
      </c>
      <c r="BG45" s="214" t="str">
        <f t="shared" si="29"/>
        <v>F</v>
      </c>
      <c r="BH45" s="214" t="str">
        <f t="shared" si="29"/>
        <v>F</v>
      </c>
      <c r="BI45" s="214" t="str">
        <f t="shared" si="29"/>
        <v>F</v>
      </c>
      <c r="BJ45" s="214" t="str">
        <f t="shared" si="29"/>
        <v>F</v>
      </c>
      <c r="BK45" s="214" t="str">
        <f t="shared" si="29"/>
        <v>F</v>
      </c>
      <c r="BL45" s="214" t="str">
        <f t="shared" si="29"/>
        <v>F</v>
      </c>
      <c r="BM45" s="214" t="str">
        <f t="shared" si="29"/>
        <v>F</v>
      </c>
      <c r="BN45" s="214" t="str">
        <f t="shared" si="29"/>
        <v>F</v>
      </c>
      <c r="BO45" s="215" t="str">
        <f t="shared" si="29"/>
        <v>F</v>
      </c>
      <c r="BP45" s="214" t="str">
        <f t="shared" si="29"/>
        <v>F</v>
      </c>
      <c r="BQ45" s="214" t="str">
        <f t="shared" si="29"/>
        <v>F</v>
      </c>
      <c r="BR45" s="214" t="str">
        <f t="shared" si="29"/>
        <v>F</v>
      </c>
      <c r="BS45" s="214" t="str">
        <f t="shared" si="31"/>
        <v>F</v>
      </c>
      <c r="BT45" s="214" t="str">
        <f t="shared" si="31"/>
        <v>F</v>
      </c>
      <c r="BU45" s="214" t="str">
        <f t="shared" si="31"/>
        <v>F</v>
      </c>
      <c r="BV45" s="214" t="str">
        <f t="shared" si="31"/>
        <v>F</v>
      </c>
      <c r="BW45" s="214" t="str">
        <f t="shared" si="31"/>
        <v>F</v>
      </c>
      <c r="BX45" s="214" t="str">
        <f t="shared" si="31"/>
        <v>F</v>
      </c>
      <c r="BY45" s="215" t="str">
        <f t="shared" si="31"/>
        <v>T</v>
      </c>
      <c r="BZ45" s="214" t="str">
        <f t="shared" si="31"/>
        <v>T</v>
      </c>
      <c r="CA45" s="214" t="str">
        <f t="shared" si="31"/>
        <v>T</v>
      </c>
      <c r="CB45" s="214" t="str">
        <f t="shared" si="31"/>
        <v>T</v>
      </c>
      <c r="CC45" s="214" t="str">
        <f t="shared" si="31"/>
        <v>T</v>
      </c>
      <c r="CD45" s="214" t="str">
        <f t="shared" si="31"/>
        <v>T</v>
      </c>
      <c r="CE45" s="214" t="str">
        <f t="shared" si="31"/>
        <v>T</v>
      </c>
      <c r="CF45" s="214" t="str">
        <f t="shared" si="31"/>
        <v>T</v>
      </c>
      <c r="CG45" s="214" t="str">
        <f t="shared" si="31"/>
        <v>T</v>
      </c>
      <c r="CH45" s="214" t="str">
        <f t="shared" si="31"/>
        <v>T</v>
      </c>
      <c r="CI45" s="215" t="str">
        <f t="shared" si="31"/>
        <v>T</v>
      </c>
      <c r="CJ45" s="214" t="str">
        <f t="shared" si="31"/>
        <v>F</v>
      </c>
      <c r="CK45" s="214" t="str">
        <f t="shared" si="31"/>
        <v>F</v>
      </c>
      <c r="CL45" s="214" t="str">
        <f t="shared" si="31"/>
        <v>F</v>
      </c>
      <c r="CM45" s="214" t="str">
        <f t="shared" si="31"/>
        <v>F</v>
      </c>
      <c r="CN45" s="214" t="str">
        <f t="shared" si="31"/>
        <v>F</v>
      </c>
      <c r="CO45" s="214" t="str">
        <f t="shared" si="31"/>
        <v>F</v>
      </c>
      <c r="CP45" s="214" t="str">
        <f t="shared" si="31"/>
        <v>F</v>
      </c>
      <c r="CQ45" s="214" t="str">
        <f t="shared" si="31"/>
        <v>F</v>
      </c>
      <c r="CR45" s="214" t="str">
        <f t="shared" si="31"/>
        <v>F</v>
      </c>
      <c r="CS45" s="215" t="str">
        <f t="shared" si="31"/>
        <v>F</v>
      </c>
      <c r="CT45" s="214" t="str">
        <f t="shared" si="31"/>
        <v>F</v>
      </c>
      <c r="CU45" s="214" t="str">
        <f t="shared" si="31"/>
        <v>F</v>
      </c>
      <c r="CV45" s="214" t="str">
        <f t="shared" si="31"/>
        <v>F</v>
      </c>
      <c r="CW45" s="214" t="str">
        <f t="shared" si="31"/>
        <v>F</v>
      </c>
      <c r="CX45" s="214" t="str">
        <f t="shared" si="31"/>
        <v>F</v>
      </c>
      <c r="CY45" s="214" t="str">
        <f t="shared" si="31"/>
        <v>F</v>
      </c>
      <c r="CZ45" s="214" t="str">
        <f t="shared" si="31"/>
        <v>F</v>
      </c>
      <c r="DA45" s="214" t="str">
        <f t="shared" si="31"/>
        <v>F</v>
      </c>
      <c r="DB45" s="214" t="str">
        <f t="shared" si="31"/>
        <v>F</v>
      </c>
      <c r="DC45" s="216" t="str">
        <f t="shared" si="31"/>
        <v>F</v>
      </c>
    </row>
    <row r="46" spans="2:111" x14ac:dyDescent="0.2">
      <c r="B46" s="211"/>
      <c r="C46" s="614"/>
      <c r="D46" s="212"/>
      <c r="E46" s="253"/>
      <c r="F46" s="213"/>
      <c r="G46" s="226"/>
      <c r="H46" s="227"/>
      <c r="I46" s="227"/>
      <c r="J46" s="227"/>
      <c r="K46" s="227"/>
      <c r="L46" s="227"/>
      <c r="M46" s="227"/>
      <c r="N46" s="227"/>
      <c r="O46" s="227"/>
      <c r="P46" s="227"/>
      <c r="Q46" s="228"/>
      <c r="R46" s="227"/>
      <c r="S46" s="227"/>
      <c r="T46" s="227"/>
      <c r="U46" s="227"/>
      <c r="V46" s="227"/>
      <c r="W46" s="227"/>
      <c r="X46" s="227"/>
      <c r="Y46" s="227"/>
      <c r="Z46" s="227"/>
      <c r="AA46" s="228"/>
      <c r="AB46" s="227"/>
      <c r="AC46" s="227"/>
      <c r="AD46" s="227"/>
      <c r="AE46" s="227"/>
      <c r="AF46" s="227"/>
      <c r="AG46" s="227"/>
      <c r="AH46" s="227"/>
      <c r="AI46" s="227"/>
      <c r="AJ46" s="227"/>
      <c r="AK46" s="228"/>
      <c r="AL46" s="227"/>
      <c r="AM46" s="227"/>
      <c r="AN46" s="227"/>
      <c r="AO46" s="227"/>
      <c r="AP46" s="227"/>
      <c r="AQ46" s="227"/>
      <c r="AR46" s="227"/>
      <c r="AS46" s="227"/>
      <c r="AT46" s="227"/>
      <c r="AU46" s="228"/>
      <c r="AV46" s="227"/>
      <c r="AW46" s="227"/>
      <c r="AX46" s="227"/>
      <c r="AY46" s="227"/>
      <c r="AZ46" s="227"/>
      <c r="BA46" s="227"/>
      <c r="BB46" s="227"/>
      <c r="BC46" s="227"/>
      <c r="BD46" s="227"/>
      <c r="BE46" s="228"/>
      <c r="BF46" s="227"/>
      <c r="BG46" s="227"/>
      <c r="BH46" s="227"/>
      <c r="BI46" s="227"/>
      <c r="BJ46" s="227"/>
      <c r="BK46" s="227"/>
      <c r="BL46" s="227"/>
      <c r="BM46" s="227"/>
      <c r="BN46" s="227"/>
      <c r="BO46" s="228"/>
      <c r="BP46" s="227"/>
      <c r="BQ46" s="227"/>
      <c r="BR46" s="227"/>
      <c r="BS46" s="227"/>
      <c r="BT46" s="227"/>
      <c r="BU46" s="227"/>
      <c r="BV46" s="227"/>
      <c r="BW46" s="227"/>
      <c r="BX46" s="227"/>
      <c r="BY46" s="228"/>
      <c r="BZ46" s="227"/>
      <c r="CA46" s="227"/>
      <c r="CB46" s="227"/>
      <c r="CC46" s="227"/>
      <c r="CD46" s="227"/>
      <c r="CE46" s="227"/>
      <c r="CF46" s="227"/>
      <c r="CG46" s="227"/>
      <c r="CH46" s="227"/>
      <c r="CI46" s="228"/>
      <c r="CJ46" s="227"/>
      <c r="CK46" s="227"/>
      <c r="CL46" s="227"/>
      <c r="CM46" s="227"/>
      <c r="CN46" s="227"/>
      <c r="CO46" s="227"/>
      <c r="CP46" s="227"/>
      <c r="CQ46" s="227"/>
      <c r="CR46" s="227"/>
      <c r="CS46" s="228"/>
      <c r="CT46" s="227"/>
      <c r="CU46" s="227"/>
      <c r="CV46" s="227"/>
      <c r="CW46" s="227"/>
      <c r="CX46" s="227"/>
      <c r="CY46" s="227"/>
      <c r="CZ46" s="227"/>
      <c r="DA46" s="227"/>
      <c r="DB46" s="227"/>
      <c r="DC46" s="229"/>
    </row>
    <row r="47" spans="2:111" x14ac:dyDescent="0.2">
      <c r="B47" s="211"/>
      <c r="C47" s="614"/>
      <c r="D47" s="212" t="str">
        <f>'Technology Matrix'!B30</f>
        <v>Toilets: Urine Diverting</v>
      </c>
      <c r="E47" s="253">
        <f>'Technology Matrix'!S30</f>
        <v>40</v>
      </c>
      <c r="F47" s="213">
        <f>'Technology Matrix'!T30</f>
        <v>60</v>
      </c>
      <c r="G47" s="215" t="str">
        <f t="shared" si="29"/>
        <v>F</v>
      </c>
      <c r="H47" s="214" t="str">
        <f t="shared" si="29"/>
        <v>F</v>
      </c>
      <c r="I47" s="214" t="str">
        <f t="shared" si="29"/>
        <v>F</v>
      </c>
      <c r="J47" s="214" t="str">
        <f t="shared" si="29"/>
        <v>F</v>
      </c>
      <c r="K47" s="214" t="str">
        <f t="shared" si="29"/>
        <v>F</v>
      </c>
      <c r="L47" s="214" t="str">
        <f t="shared" si="29"/>
        <v>F</v>
      </c>
      <c r="M47" s="214" t="str">
        <f t="shared" si="29"/>
        <v>F</v>
      </c>
      <c r="N47" s="214" t="str">
        <f t="shared" si="29"/>
        <v>F</v>
      </c>
      <c r="O47" s="214" t="str">
        <f t="shared" si="29"/>
        <v>F</v>
      </c>
      <c r="P47" s="214" t="str">
        <f t="shared" si="29"/>
        <v>F</v>
      </c>
      <c r="Q47" s="215" t="str">
        <f t="shared" si="30"/>
        <v>F</v>
      </c>
      <c r="R47" s="214" t="str">
        <f t="shared" si="29"/>
        <v>F</v>
      </c>
      <c r="S47" s="214" t="str">
        <f t="shared" si="29"/>
        <v>F</v>
      </c>
      <c r="T47" s="214" t="str">
        <f t="shared" si="29"/>
        <v>F</v>
      </c>
      <c r="U47" s="214" t="str">
        <f t="shared" si="29"/>
        <v>F</v>
      </c>
      <c r="V47" s="214" t="str">
        <f t="shared" si="29"/>
        <v>F</v>
      </c>
      <c r="W47" s="214" t="str">
        <f t="shared" si="29"/>
        <v>F</v>
      </c>
      <c r="X47" s="214" t="str">
        <f t="shared" si="29"/>
        <v>F</v>
      </c>
      <c r="Y47" s="214" t="str">
        <f t="shared" si="29"/>
        <v>F</v>
      </c>
      <c r="Z47" s="214" t="str">
        <f t="shared" si="29"/>
        <v>F</v>
      </c>
      <c r="AA47" s="215" t="str">
        <f t="shared" si="29"/>
        <v>F</v>
      </c>
      <c r="AB47" s="214" t="str">
        <f t="shared" si="29"/>
        <v>F</v>
      </c>
      <c r="AC47" s="214" t="str">
        <f t="shared" si="29"/>
        <v>F</v>
      </c>
      <c r="AD47" s="214" t="str">
        <f t="shared" si="29"/>
        <v>F</v>
      </c>
      <c r="AE47" s="214" t="str">
        <f t="shared" si="29"/>
        <v>F</v>
      </c>
      <c r="AF47" s="214" t="str">
        <f t="shared" si="29"/>
        <v>F</v>
      </c>
      <c r="AG47" s="214" t="str">
        <f t="shared" si="29"/>
        <v>F</v>
      </c>
      <c r="AH47" s="214" t="str">
        <f t="shared" si="29"/>
        <v>F</v>
      </c>
      <c r="AI47" s="214" t="str">
        <f t="shared" si="29"/>
        <v>F</v>
      </c>
      <c r="AJ47" s="214" t="str">
        <f t="shared" si="29"/>
        <v>F</v>
      </c>
      <c r="AK47" s="215" t="str">
        <f t="shared" si="29"/>
        <v>F</v>
      </c>
      <c r="AL47" s="214" t="str">
        <f t="shared" si="29"/>
        <v>F</v>
      </c>
      <c r="AM47" s="214" t="str">
        <f t="shared" si="29"/>
        <v>F</v>
      </c>
      <c r="AN47" s="214" t="str">
        <f t="shared" si="29"/>
        <v>F</v>
      </c>
      <c r="AO47" s="214" t="str">
        <f t="shared" si="29"/>
        <v>F</v>
      </c>
      <c r="AP47" s="214" t="str">
        <f t="shared" si="29"/>
        <v>F</v>
      </c>
      <c r="AQ47" s="214" t="str">
        <f t="shared" si="29"/>
        <v>F</v>
      </c>
      <c r="AR47" s="214" t="str">
        <f t="shared" si="29"/>
        <v>F</v>
      </c>
      <c r="AS47" s="214" t="str">
        <f t="shared" si="29"/>
        <v>F</v>
      </c>
      <c r="AT47" s="214" t="str">
        <f t="shared" si="29"/>
        <v>F</v>
      </c>
      <c r="AU47" s="215" t="str">
        <f t="shared" si="29"/>
        <v>T</v>
      </c>
      <c r="AV47" s="214" t="str">
        <f t="shared" si="29"/>
        <v>T</v>
      </c>
      <c r="AW47" s="214" t="str">
        <f t="shared" si="29"/>
        <v>T</v>
      </c>
      <c r="AX47" s="214" t="str">
        <f t="shared" si="29"/>
        <v>T</v>
      </c>
      <c r="AY47" s="214" t="str">
        <f t="shared" si="29"/>
        <v>T</v>
      </c>
      <c r="AZ47" s="214" t="str">
        <f t="shared" si="29"/>
        <v>T</v>
      </c>
      <c r="BA47" s="214" t="str">
        <f t="shared" si="29"/>
        <v>T</v>
      </c>
      <c r="BB47" s="214" t="str">
        <f t="shared" si="29"/>
        <v>T</v>
      </c>
      <c r="BC47" s="214" t="str">
        <f t="shared" si="29"/>
        <v>T</v>
      </c>
      <c r="BD47" s="214" t="str">
        <f t="shared" si="29"/>
        <v>T</v>
      </c>
      <c r="BE47" s="215" t="str">
        <f t="shared" si="29"/>
        <v>T</v>
      </c>
      <c r="BF47" s="214" t="str">
        <f t="shared" si="29"/>
        <v>T</v>
      </c>
      <c r="BG47" s="214" t="str">
        <f t="shared" si="29"/>
        <v>T</v>
      </c>
      <c r="BH47" s="214" t="str">
        <f t="shared" si="29"/>
        <v>T</v>
      </c>
      <c r="BI47" s="214" t="str">
        <f t="shared" si="29"/>
        <v>T</v>
      </c>
      <c r="BJ47" s="214" t="str">
        <f t="shared" si="29"/>
        <v>T</v>
      </c>
      <c r="BK47" s="214" t="str">
        <f t="shared" si="29"/>
        <v>T</v>
      </c>
      <c r="BL47" s="214" t="str">
        <f t="shared" si="29"/>
        <v>T</v>
      </c>
      <c r="BM47" s="214" t="str">
        <f t="shared" si="29"/>
        <v>T</v>
      </c>
      <c r="BN47" s="214" t="str">
        <f t="shared" si="29"/>
        <v>T</v>
      </c>
      <c r="BO47" s="215" t="str">
        <f t="shared" si="29"/>
        <v>T</v>
      </c>
      <c r="BP47" s="214" t="str">
        <f t="shared" si="29"/>
        <v>F</v>
      </c>
      <c r="BQ47" s="214" t="str">
        <f t="shared" si="29"/>
        <v>F</v>
      </c>
      <c r="BR47" s="214" t="str">
        <f t="shared" ref="BR47" si="32">IF(AND(BR$3&gt;=$E47,BR$3&lt;=$F47),"T","F")</f>
        <v>F</v>
      </c>
      <c r="BS47" s="214" t="str">
        <f t="shared" si="31"/>
        <v>F</v>
      </c>
      <c r="BT47" s="214" t="str">
        <f t="shared" si="31"/>
        <v>F</v>
      </c>
      <c r="BU47" s="214" t="str">
        <f t="shared" si="31"/>
        <v>F</v>
      </c>
      <c r="BV47" s="214" t="str">
        <f t="shared" si="31"/>
        <v>F</v>
      </c>
      <c r="BW47" s="214" t="str">
        <f t="shared" si="31"/>
        <v>F</v>
      </c>
      <c r="BX47" s="214" t="str">
        <f t="shared" si="31"/>
        <v>F</v>
      </c>
      <c r="BY47" s="215" t="str">
        <f t="shared" si="31"/>
        <v>F</v>
      </c>
      <c r="BZ47" s="214" t="str">
        <f t="shared" si="31"/>
        <v>F</v>
      </c>
      <c r="CA47" s="214" t="str">
        <f t="shared" si="31"/>
        <v>F</v>
      </c>
      <c r="CB47" s="214" t="str">
        <f t="shared" si="31"/>
        <v>F</v>
      </c>
      <c r="CC47" s="214" t="str">
        <f t="shared" si="31"/>
        <v>F</v>
      </c>
      <c r="CD47" s="214" t="str">
        <f t="shared" si="31"/>
        <v>F</v>
      </c>
      <c r="CE47" s="214" t="str">
        <f t="shared" si="31"/>
        <v>F</v>
      </c>
      <c r="CF47" s="214" t="str">
        <f t="shared" si="31"/>
        <v>F</v>
      </c>
      <c r="CG47" s="214" t="str">
        <f t="shared" si="31"/>
        <v>F</v>
      </c>
      <c r="CH47" s="214" t="str">
        <f t="shared" si="31"/>
        <v>F</v>
      </c>
      <c r="CI47" s="215" t="str">
        <f t="shared" si="31"/>
        <v>F</v>
      </c>
      <c r="CJ47" s="214" t="str">
        <f t="shared" si="31"/>
        <v>F</v>
      </c>
      <c r="CK47" s="214" t="str">
        <f t="shared" si="31"/>
        <v>F</v>
      </c>
      <c r="CL47" s="214" t="str">
        <f t="shared" si="31"/>
        <v>F</v>
      </c>
      <c r="CM47" s="214" t="str">
        <f t="shared" si="31"/>
        <v>F</v>
      </c>
      <c r="CN47" s="214" t="str">
        <f t="shared" si="31"/>
        <v>F</v>
      </c>
      <c r="CO47" s="214" t="str">
        <f t="shared" si="31"/>
        <v>F</v>
      </c>
      <c r="CP47" s="214" t="str">
        <f t="shared" si="31"/>
        <v>F</v>
      </c>
      <c r="CQ47" s="214" t="str">
        <f t="shared" si="31"/>
        <v>F</v>
      </c>
      <c r="CR47" s="214" t="str">
        <f t="shared" si="31"/>
        <v>F</v>
      </c>
      <c r="CS47" s="215" t="str">
        <f t="shared" si="31"/>
        <v>F</v>
      </c>
      <c r="CT47" s="214" t="str">
        <f t="shared" si="31"/>
        <v>F</v>
      </c>
      <c r="CU47" s="214" t="str">
        <f t="shared" si="31"/>
        <v>F</v>
      </c>
      <c r="CV47" s="214" t="str">
        <f t="shared" si="31"/>
        <v>F</v>
      </c>
      <c r="CW47" s="214" t="str">
        <f t="shared" si="31"/>
        <v>F</v>
      </c>
      <c r="CX47" s="214" t="str">
        <f t="shared" si="31"/>
        <v>F</v>
      </c>
      <c r="CY47" s="214" t="str">
        <f t="shared" si="31"/>
        <v>F</v>
      </c>
      <c r="CZ47" s="214" t="str">
        <f t="shared" si="31"/>
        <v>F</v>
      </c>
      <c r="DA47" s="214" t="str">
        <f t="shared" si="31"/>
        <v>F</v>
      </c>
      <c r="DB47" s="214" t="str">
        <f t="shared" si="31"/>
        <v>F</v>
      </c>
      <c r="DC47" s="216" t="str">
        <f t="shared" si="31"/>
        <v>F</v>
      </c>
    </row>
    <row r="48" spans="2:111" s="220" customFormat="1" x14ac:dyDescent="0.2">
      <c r="B48" s="221"/>
      <c r="C48" s="232"/>
      <c r="D48" s="212"/>
      <c r="E48" s="253"/>
      <c r="F48" s="213"/>
      <c r="G48" s="226"/>
      <c r="H48" s="227"/>
      <c r="I48" s="227"/>
      <c r="J48" s="227"/>
      <c r="K48" s="227"/>
      <c r="L48" s="227"/>
      <c r="M48" s="227"/>
      <c r="N48" s="227"/>
      <c r="O48" s="227"/>
      <c r="P48" s="227"/>
      <c r="Q48" s="228"/>
      <c r="R48" s="227"/>
      <c r="S48" s="227"/>
      <c r="T48" s="227"/>
      <c r="U48" s="227"/>
      <c r="V48" s="227"/>
      <c r="W48" s="227"/>
      <c r="X48" s="227"/>
      <c r="Y48" s="227"/>
      <c r="Z48" s="227"/>
      <c r="AA48" s="228"/>
      <c r="AB48" s="227"/>
      <c r="AC48" s="227"/>
      <c r="AD48" s="227"/>
      <c r="AE48" s="227"/>
      <c r="AF48" s="227"/>
      <c r="AG48" s="227"/>
      <c r="AH48" s="227"/>
      <c r="AI48" s="227"/>
      <c r="AJ48" s="227"/>
      <c r="AK48" s="228"/>
      <c r="AL48" s="227"/>
      <c r="AM48" s="227"/>
      <c r="AN48" s="227"/>
      <c r="AO48" s="227"/>
      <c r="AP48" s="227"/>
      <c r="AQ48" s="227"/>
      <c r="AR48" s="227"/>
      <c r="AS48" s="227"/>
      <c r="AT48" s="227"/>
      <c r="AU48" s="228"/>
      <c r="AV48" s="227"/>
      <c r="AW48" s="227"/>
      <c r="AX48" s="227"/>
      <c r="AY48" s="227"/>
      <c r="AZ48" s="227"/>
      <c r="BA48" s="227"/>
      <c r="BB48" s="227"/>
      <c r="BC48" s="227"/>
      <c r="BD48" s="227"/>
      <c r="BE48" s="228"/>
      <c r="BF48" s="227"/>
      <c r="BG48" s="227"/>
      <c r="BH48" s="227"/>
      <c r="BI48" s="227"/>
      <c r="BJ48" s="227"/>
      <c r="BK48" s="227"/>
      <c r="BL48" s="227"/>
      <c r="BM48" s="227"/>
      <c r="BN48" s="227"/>
      <c r="BO48" s="228"/>
      <c r="BP48" s="227"/>
      <c r="BQ48" s="227"/>
      <c r="BR48" s="227"/>
      <c r="BS48" s="227"/>
      <c r="BT48" s="227"/>
      <c r="BU48" s="227"/>
      <c r="BV48" s="227"/>
      <c r="BW48" s="227"/>
      <c r="BX48" s="227"/>
      <c r="BY48" s="228"/>
      <c r="BZ48" s="227"/>
      <c r="CA48" s="227"/>
      <c r="CB48" s="227"/>
      <c r="CC48" s="227"/>
      <c r="CD48" s="227"/>
      <c r="CE48" s="227"/>
      <c r="CF48" s="227"/>
      <c r="CG48" s="227"/>
      <c r="CH48" s="227"/>
      <c r="CI48" s="228"/>
      <c r="CJ48" s="227"/>
      <c r="CK48" s="227"/>
      <c r="CL48" s="227"/>
      <c r="CM48" s="227"/>
      <c r="CN48" s="227"/>
      <c r="CO48" s="227"/>
      <c r="CP48" s="227"/>
      <c r="CQ48" s="227"/>
      <c r="CR48" s="227"/>
      <c r="CS48" s="228"/>
      <c r="CT48" s="227"/>
      <c r="CU48" s="227"/>
      <c r="CV48" s="227"/>
      <c r="CW48" s="227"/>
      <c r="CX48" s="227"/>
      <c r="CY48" s="227"/>
      <c r="CZ48" s="227"/>
      <c r="DA48" s="227"/>
      <c r="DB48" s="227"/>
      <c r="DC48" s="229"/>
      <c r="DD48" s="233"/>
      <c r="DE48" s="233"/>
      <c r="DF48" s="233"/>
      <c r="DG48" s="233"/>
    </row>
    <row r="49" spans="2:111" ht="12.75" customHeight="1" x14ac:dyDescent="0.2">
      <c r="B49" s="211"/>
      <c r="C49" s="610" t="str">
        <f>'Technology Matrix'!A31</f>
        <v>Non-Structural Technologies</v>
      </c>
      <c r="D49" s="212" t="str">
        <f>'Technology Matrix'!B31</f>
        <v>Fertilizer Management</v>
      </c>
      <c r="E49" s="253">
        <f>'Technology Matrix'!S31</f>
        <v>25</v>
      </c>
      <c r="F49" s="213">
        <f>'Technology Matrix'!T31</f>
        <v>75</v>
      </c>
      <c r="G49" s="215" t="str">
        <f t="shared" ref="G49:BR49" si="33">IF(AND(G$3&gt;=$E49,G$3&lt;=$F49),"T","F")</f>
        <v>F</v>
      </c>
      <c r="H49" s="214" t="str">
        <f t="shared" si="33"/>
        <v>F</v>
      </c>
      <c r="I49" s="214" t="str">
        <f t="shared" si="33"/>
        <v>F</v>
      </c>
      <c r="J49" s="214" t="str">
        <f t="shared" si="33"/>
        <v>F</v>
      </c>
      <c r="K49" s="214" t="str">
        <f t="shared" si="33"/>
        <v>F</v>
      </c>
      <c r="L49" s="214" t="str">
        <f t="shared" si="33"/>
        <v>F</v>
      </c>
      <c r="M49" s="214" t="str">
        <f t="shared" si="33"/>
        <v>F</v>
      </c>
      <c r="N49" s="214" t="str">
        <f t="shared" si="33"/>
        <v>F</v>
      </c>
      <c r="O49" s="214" t="str">
        <f t="shared" si="33"/>
        <v>F</v>
      </c>
      <c r="P49" s="214" t="str">
        <f t="shared" si="33"/>
        <v>F</v>
      </c>
      <c r="Q49" s="215" t="str">
        <f t="shared" si="33"/>
        <v>F</v>
      </c>
      <c r="R49" s="214" t="str">
        <f t="shared" si="33"/>
        <v>F</v>
      </c>
      <c r="S49" s="214" t="str">
        <f t="shared" si="33"/>
        <v>F</v>
      </c>
      <c r="T49" s="214" t="str">
        <f t="shared" si="33"/>
        <v>F</v>
      </c>
      <c r="U49" s="214" t="str">
        <f t="shared" si="33"/>
        <v>F</v>
      </c>
      <c r="V49" s="214" t="str">
        <f t="shared" si="33"/>
        <v>F</v>
      </c>
      <c r="W49" s="214" t="str">
        <f t="shared" si="33"/>
        <v>F</v>
      </c>
      <c r="X49" s="214" t="str">
        <f t="shared" si="33"/>
        <v>F</v>
      </c>
      <c r="Y49" s="214" t="str">
        <f t="shared" si="33"/>
        <v>F</v>
      </c>
      <c r="Z49" s="214" t="str">
        <f t="shared" si="33"/>
        <v>F</v>
      </c>
      <c r="AA49" s="215" t="str">
        <f t="shared" si="33"/>
        <v>F</v>
      </c>
      <c r="AB49" s="214" t="str">
        <f t="shared" si="33"/>
        <v>F</v>
      </c>
      <c r="AC49" s="214" t="str">
        <f t="shared" si="33"/>
        <v>F</v>
      </c>
      <c r="AD49" s="214" t="str">
        <f t="shared" si="33"/>
        <v>F</v>
      </c>
      <c r="AE49" s="214" t="str">
        <f t="shared" si="33"/>
        <v>F</v>
      </c>
      <c r="AF49" s="214" t="str">
        <f t="shared" si="33"/>
        <v>T</v>
      </c>
      <c r="AG49" s="214" t="str">
        <f t="shared" si="33"/>
        <v>T</v>
      </c>
      <c r="AH49" s="214" t="str">
        <f t="shared" si="33"/>
        <v>T</v>
      </c>
      <c r="AI49" s="214" t="str">
        <f t="shared" si="33"/>
        <v>T</v>
      </c>
      <c r="AJ49" s="214" t="str">
        <f t="shared" si="33"/>
        <v>T</v>
      </c>
      <c r="AK49" s="215" t="str">
        <f t="shared" si="33"/>
        <v>T</v>
      </c>
      <c r="AL49" s="214" t="str">
        <f t="shared" si="33"/>
        <v>T</v>
      </c>
      <c r="AM49" s="214" t="str">
        <f t="shared" si="33"/>
        <v>T</v>
      </c>
      <c r="AN49" s="214" t="str">
        <f t="shared" si="33"/>
        <v>T</v>
      </c>
      <c r="AO49" s="214" t="str">
        <f t="shared" si="33"/>
        <v>T</v>
      </c>
      <c r="AP49" s="214" t="str">
        <f t="shared" si="33"/>
        <v>T</v>
      </c>
      <c r="AQ49" s="214" t="str">
        <f t="shared" si="33"/>
        <v>T</v>
      </c>
      <c r="AR49" s="214" t="str">
        <f t="shared" si="33"/>
        <v>T</v>
      </c>
      <c r="AS49" s="214" t="str">
        <f t="shared" si="33"/>
        <v>T</v>
      </c>
      <c r="AT49" s="214" t="str">
        <f t="shared" si="33"/>
        <v>T</v>
      </c>
      <c r="AU49" s="215" t="str">
        <f t="shared" si="33"/>
        <v>T</v>
      </c>
      <c r="AV49" s="214" t="str">
        <f t="shared" si="33"/>
        <v>T</v>
      </c>
      <c r="AW49" s="214" t="str">
        <f t="shared" si="33"/>
        <v>T</v>
      </c>
      <c r="AX49" s="214" t="str">
        <f t="shared" si="33"/>
        <v>T</v>
      </c>
      <c r="AY49" s="214" t="str">
        <f t="shared" si="33"/>
        <v>T</v>
      </c>
      <c r="AZ49" s="214" t="str">
        <f t="shared" si="33"/>
        <v>T</v>
      </c>
      <c r="BA49" s="214" t="str">
        <f t="shared" si="33"/>
        <v>T</v>
      </c>
      <c r="BB49" s="214" t="str">
        <f t="shared" si="33"/>
        <v>T</v>
      </c>
      <c r="BC49" s="214" t="str">
        <f t="shared" si="33"/>
        <v>T</v>
      </c>
      <c r="BD49" s="214" t="str">
        <f t="shared" si="33"/>
        <v>T</v>
      </c>
      <c r="BE49" s="215" t="str">
        <f t="shared" si="33"/>
        <v>T</v>
      </c>
      <c r="BF49" s="214" t="str">
        <f t="shared" si="33"/>
        <v>T</v>
      </c>
      <c r="BG49" s="214" t="str">
        <f t="shared" si="33"/>
        <v>T</v>
      </c>
      <c r="BH49" s="214" t="str">
        <f t="shared" si="33"/>
        <v>T</v>
      </c>
      <c r="BI49" s="214" t="str">
        <f t="shared" si="33"/>
        <v>T</v>
      </c>
      <c r="BJ49" s="214" t="str">
        <f t="shared" si="33"/>
        <v>T</v>
      </c>
      <c r="BK49" s="214" t="str">
        <f t="shared" si="33"/>
        <v>T</v>
      </c>
      <c r="BL49" s="214" t="str">
        <f t="shared" si="33"/>
        <v>T</v>
      </c>
      <c r="BM49" s="214" t="str">
        <f t="shared" si="33"/>
        <v>T</v>
      </c>
      <c r="BN49" s="214" t="str">
        <f t="shared" si="33"/>
        <v>T</v>
      </c>
      <c r="BO49" s="215" t="str">
        <f t="shared" si="33"/>
        <v>T</v>
      </c>
      <c r="BP49" s="214" t="str">
        <f t="shared" si="33"/>
        <v>T</v>
      </c>
      <c r="BQ49" s="214" t="str">
        <f t="shared" si="33"/>
        <v>T</v>
      </c>
      <c r="BR49" s="214" t="str">
        <f t="shared" si="33"/>
        <v>T</v>
      </c>
      <c r="BS49" s="214" t="str">
        <f t="shared" ref="BS49:DC53" si="34">IF(AND(BS$3&gt;=$E49,BS$3&lt;=$F49),"T","F")</f>
        <v>T</v>
      </c>
      <c r="BT49" s="214" t="str">
        <f t="shared" si="34"/>
        <v>T</v>
      </c>
      <c r="BU49" s="214" t="str">
        <f t="shared" si="34"/>
        <v>T</v>
      </c>
      <c r="BV49" s="214" t="str">
        <f t="shared" si="34"/>
        <v>T</v>
      </c>
      <c r="BW49" s="214" t="str">
        <f t="shared" si="34"/>
        <v>T</v>
      </c>
      <c r="BX49" s="214" t="str">
        <f t="shared" si="34"/>
        <v>T</v>
      </c>
      <c r="BY49" s="215" t="str">
        <f t="shared" si="34"/>
        <v>T</v>
      </c>
      <c r="BZ49" s="214" t="str">
        <f t="shared" si="34"/>
        <v>T</v>
      </c>
      <c r="CA49" s="214" t="str">
        <f t="shared" si="34"/>
        <v>T</v>
      </c>
      <c r="CB49" s="214" t="str">
        <f t="shared" si="34"/>
        <v>T</v>
      </c>
      <c r="CC49" s="214" t="str">
        <f t="shared" si="34"/>
        <v>T</v>
      </c>
      <c r="CD49" s="214" t="str">
        <f t="shared" si="34"/>
        <v>T</v>
      </c>
      <c r="CE49" s="214" t="str">
        <f t="shared" si="34"/>
        <v>F</v>
      </c>
      <c r="CF49" s="214" t="str">
        <f t="shared" si="34"/>
        <v>F</v>
      </c>
      <c r="CG49" s="214" t="str">
        <f t="shared" si="34"/>
        <v>F</v>
      </c>
      <c r="CH49" s="214" t="str">
        <f t="shared" si="34"/>
        <v>F</v>
      </c>
      <c r="CI49" s="215" t="str">
        <f t="shared" si="34"/>
        <v>F</v>
      </c>
      <c r="CJ49" s="214" t="str">
        <f t="shared" si="34"/>
        <v>F</v>
      </c>
      <c r="CK49" s="214" t="str">
        <f t="shared" si="34"/>
        <v>F</v>
      </c>
      <c r="CL49" s="214" t="str">
        <f t="shared" si="34"/>
        <v>F</v>
      </c>
      <c r="CM49" s="214" t="str">
        <f t="shared" si="34"/>
        <v>F</v>
      </c>
      <c r="CN49" s="214" t="str">
        <f t="shared" si="34"/>
        <v>F</v>
      </c>
      <c r="CO49" s="214" t="str">
        <f t="shared" si="34"/>
        <v>F</v>
      </c>
      <c r="CP49" s="214" t="str">
        <f t="shared" si="34"/>
        <v>F</v>
      </c>
      <c r="CQ49" s="214" t="str">
        <f t="shared" si="34"/>
        <v>F</v>
      </c>
      <c r="CR49" s="214" t="str">
        <f t="shared" si="34"/>
        <v>F</v>
      </c>
      <c r="CS49" s="215" t="str">
        <f t="shared" si="34"/>
        <v>F</v>
      </c>
      <c r="CT49" s="214" t="str">
        <f t="shared" si="34"/>
        <v>F</v>
      </c>
      <c r="CU49" s="214" t="str">
        <f t="shared" si="34"/>
        <v>F</v>
      </c>
      <c r="CV49" s="214" t="str">
        <f t="shared" si="34"/>
        <v>F</v>
      </c>
      <c r="CW49" s="214" t="str">
        <f t="shared" si="34"/>
        <v>F</v>
      </c>
      <c r="CX49" s="214" t="str">
        <f t="shared" si="34"/>
        <v>F</v>
      </c>
      <c r="CY49" s="214" t="str">
        <f t="shared" si="34"/>
        <v>F</v>
      </c>
      <c r="CZ49" s="214" t="str">
        <f t="shared" si="34"/>
        <v>F</v>
      </c>
      <c r="DA49" s="214" t="str">
        <f t="shared" si="34"/>
        <v>F</v>
      </c>
      <c r="DB49" s="214" t="str">
        <f t="shared" si="34"/>
        <v>F</v>
      </c>
      <c r="DC49" s="216" t="str">
        <f t="shared" si="34"/>
        <v>F</v>
      </c>
    </row>
    <row r="50" spans="2:111" x14ac:dyDescent="0.2">
      <c r="B50" s="211"/>
      <c r="C50" s="610"/>
      <c r="D50" s="212"/>
      <c r="E50" s="253"/>
      <c r="F50" s="213"/>
      <c r="G50" s="226"/>
      <c r="H50" s="227"/>
      <c r="I50" s="227"/>
      <c r="J50" s="227"/>
      <c r="K50" s="227"/>
      <c r="L50" s="227"/>
      <c r="M50" s="227"/>
      <c r="N50" s="227"/>
      <c r="O50" s="227"/>
      <c r="P50" s="227"/>
      <c r="Q50" s="228"/>
      <c r="R50" s="227"/>
      <c r="S50" s="227"/>
      <c r="T50" s="227"/>
      <c r="U50" s="227"/>
      <c r="V50" s="227"/>
      <c r="W50" s="227"/>
      <c r="X50" s="227"/>
      <c r="Y50" s="227"/>
      <c r="Z50" s="227"/>
      <c r="AA50" s="228"/>
      <c r="AB50" s="227"/>
      <c r="AC50" s="227"/>
      <c r="AD50" s="227"/>
      <c r="AE50" s="227"/>
      <c r="AF50" s="227"/>
      <c r="AG50" s="227"/>
      <c r="AH50" s="227"/>
      <c r="AI50" s="227"/>
      <c r="AJ50" s="227"/>
      <c r="AK50" s="228"/>
      <c r="AL50" s="227"/>
      <c r="AM50" s="227"/>
      <c r="AN50" s="227"/>
      <c r="AO50" s="227"/>
      <c r="AP50" s="227"/>
      <c r="AQ50" s="227"/>
      <c r="AR50" s="227"/>
      <c r="AS50" s="227"/>
      <c r="AT50" s="227"/>
      <c r="AU50" s="228"/>
      <c r="AV50" s="227"/>
      <c r="AW50" s="227"/>
      <c r="AX50" s="227"/>
      <c r="AY50" s="227"/>
      <c r="AZ50" s="227"/>
      <c r="BA50" s="227"/>
      <c r="BB50" s="227"/>
      <c r="BC50" s="227"/>
      <c r="BD50" s="227"/>
      <c r="BE50" s="228"/>
      <c r="BF50" s="227"/>
      <c r="BG50" s="227"/>
      <c r="BH50" s="227"/>
      <c r="BI50" s="227"/>
      <c r="BJ50" s="227"/>
      <c r="BK50" s="227"/>
      <c r="BL50" s="227"/>
      <c r="BM50" s="227"/>
      <c r="BN50" s="227"/>
      <c r="BO50" s="228"/>
      <c r="BP50" s="227"/>
      <c r="BQ50" s="227"/>
      <c r="BR50" s="227"/>
      <c r="BS50" s="227"/>
      <c r="BT50" s="227"/>
      <c r="BU50" s="227"/>
      <c r="BV50" s="227"/>
      <c r="BW50" s="227"/>
      <c r="BX50" s="227"/>
      <c r="BY50" s="228"/>
      <c r="BZ50" s="227"/>
      <c r="CA50" s="227"/>
      <c r="CB50" s="227"/>
      <c r="CC50" s="227"/>
      <c r="CD50" s="227"/>
      <c r="CE50" s="227"/>
      <c r="CF50" s="227"/>
      <c r="CG50" s="227"/>
      <c r="CH50" s="227"/>
      <c r="CI50" s="228"/>
      <c r="CJ50" s="227"/>
      <c r="CK50" s="227"/>
      <c r="CL50" s="227"/>
      <c r="CM50" s="227"/>
      <c r="CN50" s="227"/>
      <c r="CO50" s="227"/>
      <c r="CP50" s="227"/>
      <c r="CQ50" s="227"/>
      <c r="CR50" s="227"/>
      <c r="CS50" s="228"/>
      <c r="CT50" s="227"/>
      <c r="CU50" s="227"/>
      <c r="CV50" s="227"/>
      <c r="CW50" s="227"/>
      <c r="CX50" s="227"/>
      <c r="CY50" s="227"/>
      <c r="CZ50" s="227"/>
      <c r="DA50" s="227"/>
      <c r="DB50" s="227"/>
      <c r="DC50" s="229"/>
    </row>
    <row r="51" spans="2:111" x14ac:dyDescent="0.2">
      <c r="B51" s="211"/>
      <c r="C51" s="610"/>
      <c r="D51" s="212" t="str">
        <f>'Technology Matrix'!B32</f>
        <v>Stormwater BMPs</v>
      </c>
      <c r="E51" s="253">
        <f>'Technology Matrix'!S32</f>
        <v>25</v>
      </c>
      <c r="F51" s="213">
        <f>'Technology Matrix'!T32</f>
        <v>75</v>
      </c>
      <c r="G51" s="215" t="str">
        <f t="shared" ref="G51:BR51" si="35">IF(AND(G$3&gt;=$E51,G$3&lt;=$F51),"T","F")</f>
        <v>F</v>
      </c>
      <c r="H51" s="214" t="str">
        <f t="shared" si="35"/>
        <v>F</v>
      </c>
      <c r="I51" s="214" t="str">
        <f t="shared" si="35"/>
        <v>F</v>
      </c>
      <c r="J51" s="214" t="str">
        <f t="shared" si="35"/>
        <v>F</v>
      </c>
      <c r="K51" s="214" t="str">
        <f t="shared" si="35"/>
        <v>F</v>
      </c>
      <c r="L51" s="214" t="str">
        <f t="shared" si="35"/>
        <v>F</v>
      </c>
      <c r="M51" s="214" t="str">
        <f t="shared" si="35"/>
        <v>F</v>
      </c>
      <c r="N51" s="214" t="str">
        <f t="shared" si="35"/>
        <v>F</v>
      </c>
      <c r="O51" s="214" t="str">
        <f t="shared" si="35"/>
        <v>F</v>
      </c>
      <c r="P51" s="214" t="str">
        <f t="shared" si="35"/>
        <v>F</v>
      </c>
      <c r="Q51" s="215" t="str">
        <f t="shared" si="35"/>
        <v>F</v>
      </c>
      <c r="R51" s="214" t="str">
        <f t="shared" si="35"/>
        <v>F</v>
      </c>
      <c r="S51" s="214" t="str">
        <f t="shared" si="35"/>
        <v>F</v>
      </c>
      <c r="T51" s="214" t="str">
        <f t="shared" si="35"/>
        <v>F</v>
      </c>
      <c r="U51" s="214" t="str">
        <f t="shared" si="35"/>
        <v>F</v>
      </c>
      <c r="V51" s="214" t="str">
        <f t="shared" si="35"/>
        <v>F</v>
      </c>
      <c r="W51" s="214" t="str">
        <f t="shared" si="35"/>
        <v>F</v>
      </c>
      <c r="X51" s="214" t="str">
        <f t="shared" si="35"/>
        <v>F</v>
      </c>
      <c r="Y51" s="214" t="str">
        <f t="shared" si="35"/>
        <v>F</v>
      </c>
      <c r="Z51" s="214" t="str">
        <f t="shared" si="35"/>
        <v>F</v>
      </c>
      <c r="AA51" s="215" t="str">
        <f t="shared" si="35"/>
        <v>F</v>
      </c>
      <c r="AB51" s="214" t="str">
        <f t="shared" si="35"/>
        <v>F</v>
      </c>
      <c r="AC51" s="214" t="str">
        <f t="shared" si="35"/>
        <v>F</v>
      </c>
      <c r="AD51" s="214" t="str">
        <f t="shared" si="35"/>
        <v>F</v>
      </c>
      <c r="AE51" s="214" t="str">
        <f t="shared" si="35"/>
        <v>F</v>
      </c>
      <c r="AF51" s="214" t="str">
        <f t="shared" si="35"/>
        <v>T</v>
      </c>
      <c r="AG51" s="214" t="str">
        <f t="shared" si="35"/>
        <v>T</v>
      </c>
      <c r="AH51" s="214" t="str">
        <f t="shared" si="35"/>
        <v>T</v>
      </c>
      <c r="AI51" s="214" t="str">
        <f t="shared" si="35"/>
        <v>T</v>
      </c>
      <c r="AJ51" s="214" t="str">
        <f t="shared" si="35"/>
        <v>T</v>
      </c>
      <c r="AK51" s="215" t="str">
        <f t="shared" si="35"/>
        <v>T</v>
      </c>
      <c r="AL51" s="214" t="str">
        <f t="shared" si="35"/>
        <v>T</v>
      </c>
      <c r="AM51" s="214" t="str">
        <f t="shared" si="35"/>
        <v>T</v>
      </c>
      <c r="AN51" s="214" t="str">
        <f t="shared" si="35"/>
        <v>T</v>
      </c>
      <c r="AO51" s="214" t="str">
        <f t="shared" si="35"/>
        <v>T</v>
      </c>
      <c r="AP51" s="214" t="str">
        <f t="shared" si="35"/>
        <v>T</v>
      </c>
      <c r="AQ51" s="214" t="str">
        <f t="shared" si="35"/>
        <v>T</v>
      </c>
      <c r="AR51" s="214" t="str">
        <f t="shared" si="35"/>
        <v>T</v>
      </c>
      <c r="AS51" s="214" t="str">
        <f t="shared" si="35"/>
        <v>T</v>
      </c>
      <c r="AT51" s="214" t="str">
        <f t="shared" si="35"/>
        <v>T</v>
      </c>
      <c r="AU51" s="215" t="str">
        <f t="shared" si="35"/>
        <v>T</v>
      </c>
      <c r="AV51" s="214" t="str">
        <f t="shared" si="35"/>
        <v>T</v>
      </c>
      <c r="AW51" s="214" t="str">
        <f t="shared" si="35"/>
        <v>T</v>
      </c>
      <c r="AX51" s="214" t="str">
        <f t="shared" si="35"/>
        <v>T</v>
      </c>
      <c r="AY51" s="214" t="str">
        <f t="shared" si="35"/>
        <v>T</v>
      </c>
      <c r="AZ51" s="214" t="str">
        <f t="shared" si="35"/>
        <v>T</v>
      </c>
      <c r="BA51" s="214" t="str">
        <f t="shared" si="35"/>
        <v>T</v>
      </c>
      <c r="BB51" s="214" t="str">
        <f t="shared" si="35"/>
        <v>T</v>
      </c>
      <c r="BC51" s="214" t="str">
        <f t="shared" si="35"/>
        <v>T</v>
      </c>
      <c r="BD51" s="214" t="str">
        <f t="shared" si="35"/>
        <v>T</v>
      </c>
      <c r="BE51" s="215" t="str">
        <f t="shared" si="35"/>
        <v>T</v>
      </c>
      <c r="BF51" s="214" t="str">
        <f t="shared" si="35"/>
        <v>T</v>
      </c>
      <c r="BG51" s="214" t="str">
        <f t="shared" si="35"/>
        <v>T</v>
      </c>
      <c r="BH51" s="214" t="str">
        <f t="shared" si="35"/>
        <v>T</v>
      </c>
      <c r="BI51" s="214" t="str">
        <f t="shared" si="35"/>
        <v>T</v>
      </c>
      <c r="BJ51" s="214" t="str">
        <f t="shared" si="35"/>
        <v>T</v>
      </c>
      <c r="BK51" s="214" t="str">
        <f t="shared" si="35"/>
        <v>T</v>
      </c>
      <c r="BL51" s="214" t="str">
        <f t="shared" si="35"/>
        <v>T</v>
      </c>
      <c r="BM51" s="214" t="str">
        <f t="shared" si="35"/>
        <v>T</v>
      </c>
      <c r="BN51" s="214" t="str">
        <f t="shared" si="35"/>
        <v>T</v>
      </c>
      <c r="BO51" s="215" t="str">
        <f t="shared" si="35"/>
        <v>T</v>
      </c>
      <c r="BP51" s="214" t="str">
        <f t="shared" si="35"/>
        <v>T</v>
      </c>
      <c r="BQ51" s="214" t="str">
        <f t="shared" si="35"/>
        <v>T</v>
      </c>
      <c r="BR51" s="214" t="str">
        <f t="shared" si="35"/>
        <v>T</v>
      </c>
      <c r="BS51" s="214" t="str">
        <f t="shared" si="34"/>
        <v>T</v>
      </c>
      <c r="BT51" s="214" t="str">
        <f t="shared" si="34"/>
        <v>T</v>
      </c>
      <c r="BU51" s="214" t="str">
        <f t="shared" si="34"/>
        <v>T</v>
      </c>
      <c r="BV51" s="214" t="str">
        <f t="shared" si="34"/>
        <v>T</v>
      </c>
      <c r="BW51" s="214" t="str">
        <f t="shared" si="34"/>
        <v>T</v>
      </c>
      <c r="BX51" s="214" t="str">
        <f t="shared" si="34"/>
        <v>T</v>
      </c>
      <c r="BY51" s="215" t="str">
        <f t="shared" si="34"/>
        <v>T</v>
      </c>
      <c r="BZ51" s="214" t="str">
        <f t="shared" si="34"/>
        <v>T</v>
      </c>
      <c r="CA51" s="214" t="str">
        <f t="shared" si="34"/>
        <v>T</v>
      </c>
      <c r="CB51" s="214" t="str">
        <f t="shared" si="34"/>
        <v>T</v>
      </c>
      <c r="CC51" s="214" t="str">
        <f t="shared" si="34"/>
        <v>T</v>
      </c>
      <c r="CD51" s="214" t="str">
        <f t="shared" si="34"/>
        <v>T</v>
      </c>
      <c r="CE51" s="214" t="str">
        <f t="shared" si="34"/>
        <v>F</v>
      </c>
      <c r="CF51" s="214" t="str">
        <f t="shared" si="34"/>
        <v>F</v>
      </c>
      <c r="CG51" s="214" t="str">
        <f t="shared" si="34"/>
        <v>F</v>
      </c>
      <c r="CH51" s="214" t="str">
        <f t="shared" si="34"/>
        <v>F</v>
      </c>
      <c r="CI51" s="215" t="str">
        <f t="shared" si="34"/>
        <v>F</v>
      </c>
      <c r="CJ51" s="214" t="str">
        <f t="shared" si="34"/>
        <v>F</v>
      </c>
      <c r="CK51" s="214" t="str">
        <f t="shared" si="34"/>
        <v>F</v>
      </c>
      <c r="CL51" s="214" t="str">
        <f t="shared" si="34"/>
        <v>F</v>
      </c>
      <c r="CM51" s="214" t="str">
        <f t="shared" si="34"/>
        <v>F</v>
      </c>
      <c r="CN51" s="214" t="str">
        <f t="shared" si="34"/>
        <v>F</v>
      </c>
      <c r="CO51" s="214" t="str">
        <f t="shared" si="34"/>
        <v>F</v>
      </c>
      <c r="CP51" s="214" t="str">
        <f t="shared" si="34"/>
        <v>F</v>
      </c>
      <c r="CQ51" s="214" t="str">
        <f t="shared" si="34"/>
        <v>F</v>
      </c>
      <c r="CR51" s="214" t="str">
        <f t="shared" si="34"/>
        <v>F</v>
      </c>
      <c r="CS51" s="215" t="str">
        <f t="shared" si="34"/>
        <v>F</v>
      </c>
      <c r="CT51" s="214" t="str">
        <f t="shared" si="34"/>
        <v>F</v>
      </c>
      <c r="CU51" s="214" t="str">
        <f t="shared" si="34"/>
        <v>F</v>
      </c>
      <c r="CV51" s="214" t="str">
        <f t="shared" si="34"/>
        <v>F</v>
      </c>
      <c r="CW51" s="214" t="str">
        <f t="shared" si="34"/>
        <v>F</v>
      </c>
      <c r="CX51" s="214" t="str">
        <f t="shared" si="34"/>
        <v>F</v>
      </c>
      <c r="CY51" s="214" t="str">
        <f t="shared" si="34"/>
        <v>F</v>
      </c>
      <c r="CZ51" s="214" t="str">
        <f t="shared" si="34"/>
        <v>F</v>
      </c>
      <c r="DA51" s="214" t="str">
        <f t="shared" si="34"/>
        <v>F</v>
      </c>
      <c r="DB51" s="214" t="str">
        <f t="shared" si="34"/>
        <v>F</v>
      </c>
      <c r="DC51" s="216" t="str">
        <f t="shared" si="34"/>
        <v>F</v>
      </c>
    </row>
    <row r="52" spans="2:111" x14ac:dyDescent="0.2">
      <c r="B52" s="211"/>
      <c r="C52" s="610"/>
      <c r="D52" s="212"/>
      <c r="E52" s="253"/>
      <c r="F52" s="213"/>
      <c r="G52" s="226"/>
      <c r="H52" s="227"/>
      <c r="I52" s="227"/>
      <c r="J52" s="227"/>
      <c r="K52" s="227"/>
      <c r="L52" s="227"/>
      <c r="M52" s="227"/>
      <c r="N52" s="227"/>
      <c r="O52" s="227"/>
      <c r="P52" s="227"/>
      <c r="Q52" s="228"/>
      <c r="R52" s="227"/>
      <c r="S52" s="227"/>
      <c r="T52" s="227"/>
      <c r="U52" s="227"/>
      <c r="V52" s="227"/>
      <c r="W52" s="227"/>
      <c r="X52" s="227"/>
      <c r="Y52" s="227"/>
      <c r="Z52" s="227"/>
      <c r="AA52" s="228"/>
      <c r="AB52" s="227"/>
      <c r="AC52" s="227"/>
      <c r="AD52" s="227"/>
      <c r="AE52" s="227"/>
      <c r="AF52" s="227"/>
      <c r="AG52" s="227"/>
      <c r="AH52" s="227"/>
      <c r="AI52" s="227"/>
      <c r="AJ52" s="227"/>
      <c r="AK52" s="228"/>
      <c r="AL52" s="227"/>
      <c r="AM52" s="227"/>
      <c r="AN52" s="227"/>
      <c r="AO52" s="227"/>
      <c r="AP52" s="227"/>
      <c r="AQ52" s="227"/>
      <c r="AR52" s="227"/>
      <c r="AS52" s="227"/>
      <c r="AT52" s="227"/>
      <c r="AU52" s="228"/>
      <c r="AV52" s="227"/>
      <c r="AW52" s="227"/>
      <c r="AX52" s="227"/>
      <c r="AY52" s="227"/>
      <c r="AZ52" s="227"/>
      <c r="BA52" s="227"/>
      <c r="BB52" s="227"/>
      <c r="BC52" s="227"/>
      <c r="BD52" s="227"/>
      <c r="BE52" s="228"/>
      <c r="BF52" s="227"/>
      <c r="BG52" s="227"/>
      <c r="BH52" s="227"/>
      <c r="BI52" s="227"/>
      <c r="BJ52" s="227"/>
      <c r="BK52" s="227"/>
      <c r="BL52" s="227"/>
      <c r="BM52" s="227"/>
      <c r="BN52" s="227"/>
      <c r="BO52" s="228"/>
      <c r="BP52" s="227"/>
      <c r="BQ52" s="227"/>
      <c r="BR52" s="227"/>
      <c r="BS52" s="227"/>
      <c r="BT52" s="227"/>
      <c r="BU52" s="227"/>
      <c r="BV52" s="227"/>
      <c r="BW52" s="227"/>
      <c r="BX52" s="227"/>
      <c r="BY52" s="228"/>
      <c r="BZ52" s="227"/>
      <c r="CA52" s="227"/>
      <c r="CB52" s="227"/>
      <c r="CC52" s="227"/>
      <c r="CD52" s="227"/>
      <c r="CE52" s="227"/>
      <c r="CF52" s="227"/>
      <c r="CG52" s="227"/>
      <c r="CH52" s="227"/>
      <c r="CI52" s="228"/>
      <c r="CJ52" s="227"/>
      <c r="CK52" s="227"/>
      <c r="CL52" s="227"/>
      <c r="CM52" s="227"/>
      <c r="CN52" s="227"/>
      <c r="CO52" s="227"/>
      <c r="CP52" s="227"/>
      <c r="CQ52" s="227"/>
      <c r="CR52" s="227"/>
      <c r="CS52" s="228"/>
      <c r="CT52" s="227"/>
      <c r="CU52" s="227"/>
      <c r="CV52" s="227"/>
      <c r="CW52" s="227"/>
      <c r="CX52" s="227"/>
      <c r="CY52" s="227"/>
      <c r="CZ52" s="227"/>
      <c r="DA52" s="227"/>
      <c r="DB52" s="227"/>
      <c r="DC52" s="229"/>
    </row>
    <row r="53" spans="2:111" x14ac:dyDescent="0.2">
      <c r="B53" s="211"/>
      <c r="C53" s="610"/>
      <c r="D53" s="212" t="str">
        <f>'Technology Matrix'!B33</f>
        <v>Nutrient Reducing Development</v>
      </c>
      <c r="E53" s="253">
        <f>'Technology Matrix'!S33</f>
        <v>62</v>
      </c>
      <c r="F53" s="213">
        <f>'Technology Matrix'!T33</f>
        <v>90</v>
      </c>
      <c r="G53" s="215" t="str">
        <f t="shared" ref="G53:BR53" si="36">IF(AND(G$3&gt;=$E53,G$3&lt;=$F53),"T","F")</f>
        <v>F</v>
      </c>
      <c r="H53" s="214" t="str">
        <f t="shared" si="36"/>
        <v>F</v>
      </c>
      <c r="I53" s="214" t="str">
        <f t="shared" si="36"/>
        <v>F</v>
      </c>
      <c r="J53" s="214" t="str">
        <f t="shared" si="36"/>
        <v>F</v>
      </c>
      <c r="K53" s="214" t="str">
        <f t="shared" si="36"/>
        <v>F</v>
      </c>
      <c r="L53" s="214" t="str">
        <f t="shared" si="36"/>
        <v>F</v>
      </c>
      <c r="M53" s="214" t="str">
        <f t="shared" si="36"/>
        <v>F</v>
      </c>
      <c r="N53" s="214" t="str">
        <f t="shared" si="36"/>
        <v>F</v>
      </c>
      <c r="O53" s="214" t="str">
        <f t="shared" si="36"/>
        <v>F</v>
      </c>
      <c r="P53" s="214" t="str">
        <f t="shared" si="36"/>
        <v>F</v>
      </c>
      <c r="Q53" s="215" t="str">
        <f t="shared" si="36"/>
        <v>F</v>
      </c>
      <c r="R53" s="214" t="str">
        <f t="shared" si="36"/>
        <v>F</v>
      </c>
      <c r="S53" s="214" t="str">
        <f t="shared" si="36"/>
        <v>F</v>
      </c>
      <c r="T53" s="214" t="str">
        <f t="shared" si="36"/>
        <v>F</v>
      </c>
      <c r="U53" s="214" t="str">
        <f t="shared" si="36"/>
        <v>F</v>
      </c>
      <c r="V53" s="214" t="str">
        <f t="shared" si="36"/>
        <v>F</v>
      </c>
      <c r="W53" s="214" t="str">
        <f t="shared" si="36"/>
        <v>F</v>
      </c>
      <c r="X53" s="214" t="str">
        <f t="shared" si="36"/>
        <v>F</v>
      </c>
      <c r="Y53" s="214" t="str">
        <f t="shared" si="36"/>
        <v>F</v>
      </c>
      <c r="Z53" s="214" t="str">
        <f t="shared" si="36"/>
        <v>F</v>
      </c>
      <c r="AA53" s="215" t="str">
        <f t="shared" si="36"/>
        <v>F</v>
      </c>
      <c r="AB53" s="214" t="str">
        <f t="shared" si="36"/>
        <v>F</v>
      </c>
      <c r="AC53" s="214" t="str">
        <f t="shared" si="36"/>
        <v>F</v>
      </c>
      <c r="AD53" s="214" t="str">
        <f t="shared" si="36"/>
        <v>F</v>
      </c>
      <c r="AE53" s="214" t="str">
        <f t="shared" si="36"/>
        <v>F</v>
      </c>
      <c r="AF53" s="214" t="str">
        <f t="shared" si="36"/>
        <v>F</v>
      </c>
      <c r="AG53" s="214" t="str">
        <f t="shared" si="36"/>
        <v>F</v>
      </c>
      <c r="AH53" s="214" t="str">
        <f t="shared" si="36"/>
        <v>F</v>
      </c>
      <c r="AI53" s="214" t="str">
        <f t="shared" si="36"/>
        <v>F</v>
      </c>
      <c r="AJ53" s="214" t="str">
        <f t="shared" si="36"/>
        <v>F</v>
      </c>
      <c r="AK53" s="215" t="str">
        <f t="shared" si="36"/>
        <v>F</v>
      </c>
      <c r="AL53" s="214" t="str">
        <f t="shared" si="36"/>
        <v>F</v>
      </c>
      <c r="AM53" s="214" t="str">
        <f t="shared" si="36"/>
        <v>F</v>
      </c>
      <c r="AN53" s="214" t="str">
        <f t="shared" si="36"/>
        <v>F</v>
      </c>
      <c r="AO53" s="214" t="str">
        <f t="shared" si="36"/>
        <v>F</v>
      </c>
      <c r="AP53" s="214" t="str">
        <f t="shared" si="36"/>
        <v>F</v>
      </c>
      <c r="AQ53" s="214" t="str">
        <f t="shared" si="36"/>
        <v>F</v>
      </c>
      <c r="AR53" s="214" t="str">
        <f t="shared" si="36"/>
        <v>F</v>
      </c>
      <c r="AS53" s="214" t="str">
        <f t="shared" si="36"/>
        <v>F</v>
      </c>
      <c r="AT53" s="214" t="str">
        <f t="shared" si="36"/>
        <v>F</v>
      </c>
      <c r="AU53" s="215" t="str">
        <f t="shared" si="36"/>
        <v>F</v>
      </c>
      <c r="AV53" s="214" t="str">
        <f t="shared" si="36"/>
        <v>F</v>
      </c>
      <c r="AW53" s="214" t="str">
        <f t="shared" si="36"/>
        <v>F</v>
      </c>
      <c r="AX53" s="214" t="str">
        <f t="shared" si="36"/>
        <v>F</v>
      </c>
      <c r="AY53" s="214" t="str">
        <f t="shared" si="36"/>
        <v>F</v>
      </c>
      <c r="AZ53" s="214" t="str">
        <f t="shared" si="36"/>
        <v>F</v>
      </c>
      <c r="BA53" s="214" t="str">
        <f t="shared" si="36"/>
        <v>F</v>
      </c>
      <c r="BB53" s="214" t="str">
        <f t="shared" si="36"/>
        <v>F</v>
      </c>
      <c r="BC53" s="214" t="str">
        <f t="shared" si="36"/>
        <v>F</v>
      </c>
      <c r="BD53" s="214" t="str">
        <f t="shared" si="36"/>
        <v>F</v>
      </c>
      <c r="BE53" s="215" t="str">
        <f t="shared" si="36"/>
        <v>F</v>
      </c>
      <c r="BF53" s="214" t="str">
        <f t="shared" si="36"/>
        <v>F</v>
      </c>
      <c r="BG53" s="214" t="str">
        <f t="shared" si="36"/>
        <v>F</v>
      </c>
      <c r="BH53" s="214" t="str">
        <f t="shared" si="36"/>
        <v>F</v>
      </c>
      <c r="BI53" s="214" t="str">
        <f t="shared" si="36"/>
        <v>F</v>
      </c>
      <c r="BJ53" s="214" t="str">
        <f t="shared" si="36"/>
        <v>F</v>
      </c>
      <c r="BK53" s="214" t="str">
        <f t="shared" si="36"/>
        <v>F</v>
      </c>
      <c r="BL53" s="214" t="str">
        <f t="shared" si="36"/>
        <v>F</v>
      </c>
      <c r="BM53" s="214" t="str">
        <f t="shared" si="36"/>
        <v>F</v>
      </c>
      <c r="BN53" s="214" t="str">
        <f t="shared" si="36"/>
        <v>F</v>
      </c>
      <c r="BO53" s="215" t="str">
        <f t="shared" si="36"/>
        <v>F</v>
      </c>
      <c r="BP53" s="214" t="str">
        <f t="shared" si="36"/>
        <v>F</v>
      </c>
      <c r="BQ53" s="214" t="str">
        <f t="shared" si="36"/>
        <v>T</v>
      </c>
      <c r="BR53" s="214" t="str">
        <f t="shared" si="36"/>
        <v>T</v>
      </c>
      <c r="BS53" s="214" t="str">
        <f t="shared" si="34"/>
        <v>T</v>
      </c>
      <c r="BT53" s="214" t="str">
        <f t="shared" si="34"/>
        <v>T</v>
      </c>
      <c r="BU53" s="214" t="str">
        <f t="shared" si="34"/>
        <v>T</v>
      </c>
      <c r="BV53" s="214" t="str">
        <f t="shared" si="34"/>
        <v>T</v>
      </c>
      <c r="BW53" s="214" t="str">
        <f t="shared" si="34"/>
        <v>T</v>
      </c>
      <c r="BX53" s="214" t="str">
        <f t="shared" si="34"/>
        <v>T</v>
      </c>
      <c r="BY53" s="215" t="str">
        <f t="shared" si="34"/>
        <v>T</v>
      </c>
      <c r="BZ53" s="214" t="str">
        <f t="shared" si="34"/>
        <v>T</v>
      </c>
      <c r="CA53" s="214" t="str">
        <f t="shared" si="34"/>
        <v>T</v>
      </c>
      <c r="CB53" s="214" t="str">
        <f t="shared" si="34"/>
        <v>T</v>
      </c>
      <c r="CC53" s="214" t="str">
        <f t="shared" si="34"/>
        <v>T</v>
      </c>
      <c r="CD53" s="214" t="str">
        <f t="shared" si="34"/>
        <v>T</v>
      </c>
      <c r="CE53" s="214" t="str">
        <f t="shared" si="34"/>
        <v>T</v>
      </c>
      <c r="CF53" s="214" t="str">
        <f t="shared" si="34"/>
        <v>T</v>
      </c>
      <c r="CG53" s="214" t="str">
        <f t="shared" si="34"/>
        <v>T</v>
      </c>
      <c r="CH53" s="214" t="str">
        <f t="shared" si="34"/>
        <v>T</v>
      </c>
      <c r="CI53" s="215" t="str">
        <f t="shared" si="34"/>
        <v>T</v>
      </c>
      <c r="CJ53" s="214" t="str">
        <f t="shared" si="34"/>
        <v>T</v>
      </c>
      <c r="CK53" s="214" t="str">
        <f t="shared" si="34"/>
        <v>T</v>
      </c>
      <c r="CL53" s="214" t="str">
        <f t="shared" si="34"/>
        <v>T</v>
      </c>
      <c r="CM53" s="214" t="str">
        <f t="shared" si="34"/>
        <v>T</v>
      </c>
      <c r="CN53" s="214" t="str">
        <f t="shared" si="34"/>
        <v>T</v>
      </c>
      <c r="CO53" s="214" t="str">
        <f t="shared" si="34"/>
        <v>T</v>
      </c>
      <c r="CP53" s="214" t="str">
        <f t="shared" si="34"/>
        <v>T</v>
      </c>
      <c r="CQ53" s="214" t="str">
        <f t="shared" si="34"/>
        <v>T</v>
      </c>
      <c r="CR53" s="214" t="str">
        <f t="shared" si="34"/>
        <v>T</v>
      </c>
      <c r="CS53" s="215" t="str">
        <f t="shared" si="34"/>
        <v>T</v>
      </c>
      <c r="CT53" s="214" t="str">
        <f t="shared" si="34"/>
        <v>F</v>
      </c>
      <c r="CU53" s="214" t="str">
        <f t="shared" si="34"/>
        <v>F</v>
      </c>
      <c r="CV53" s="214" t="str">
        <f t="shared" si="34"/>
        <v>F</v>
      </c>
      <c r="CW53" s="214" t="str">
        <f t="shared" si="34"/>
        <v>F</v>
      </c>
      <c r="CX53" s="214" t="str">
        <f t="shared" si="34"/>
        <v>F</v>
      </c>
      <c r="CY53" s="214" t="str">
        <f t="shared" si="34"/>
        <v>F</v>
      </c>
      <c r="CZ53" s="214" t="str">
        <f t="shared" ref="CZ53:DC53" si="37">IF(AND(CZ$3&gt;=$E53,CZ$3&lt;=$F53),"T","F")</f>
        <v>F</v>
      </c>
      <c r="DA53" s="214" t="str">
        <f t="shared" si="37"/>
        <v>F</v>
      </c>
      <c r="DB53" s="214" t="str">
        <f t="shared" si="37"/>
        <v>F</v>
      </c>
      <c r="DC53" s="216" t="str">
        <f t="shared" si="37"/>
        <v>F</v>
      </c>
    </row>
    <row r="54" spans="2:111" x14ac:dyDescent="0.2">
      <c r="B54" s="211"/>
      <c r="C54" s="610"/>
      <c r="D54" s="212"/>
      <c r="E54" s="253"/>
      <c r="F54" s="213"/>
      <c r="G54" s="226"/>
      <c r="H54" s="227"/>
      <c r="I54" s="227"/>
      <c r="J54" s="227"/>
      <c r="K54" s="227"/>
      <c r="L54" s="227"/>
      <c r="M54" s="227"/>
      <c r="N54" s="227"/>
      <c r="O54" s="227"/>
      <c r="P54" s="227"/>
      <c r="Q54" s="228"/>
      <c r="R54" s="227"/>
      <c r="S54" s="227"/>
      <c r="T54" s="227"/>
      <c r="U54" s="227"/>
      <c r="V54" s="227"/>
      <c r="W54" s="227"/>
      <c r="X54" s="227"/>
      <c r="Y54" s="227"/>
      <c r="Z54" s="227"/>
      <c r="AA54" s="228"/>
      <c r="AB54" s="227"/>
      <c r="AC54" s="227"/>
      <c r="AD54" s="227"/>
      <c r="AE54" s="227"/>
      <c r="AF54" s="227"/>
      <c r="AG54" s="227"/>
      <c r="AH54" s="227"/>
      <c r="AI54" s="227"/>
      <c r="AJ54" s="227"/>
      <c r="AK54" s="228"/>
      <c r="AL54" s="227"/>
      <c r="AM54" s="227"/>
      <c r="AN54" s="227"/>
      <c r="AO54" s="227"/>
      <c r="AP54" s="227"/>
      <c r="AQ54" s="227"/>
      <c r="AR54" s="227"/>
      <c r="AS54" s="227"/>
      <c r="AT54" s="227"/>
      <c r="AU54" s="228"/>
      <c r="AV54" s="227"/>
      <c r="AW54" s="227"/>
      <c r="AX54" s="227"/>
      <c r="AY54" s="227"/>
      <c r="AZ54" s="227"/>
      <c r="BA54" s="227"/>
      <c r="BB54" s="227"/>
      <c r="BC54" s="227"/>
      <c r="BD54" s="227"/>
      <c r="BE54" s="228"/>
      <c r="BF54" s="227"/>
      <c r="BG54" s="227"/>
      <c r="BH54" s="227"/>
      <c r="BI54" s="227"/>
      <c r="BJ54" s="227"/>
      <c r="BK54" s="227"/>
      <c r="BL54" s="227"/>
      <c r="BM54" s="227"/>
      <c r="BN54" s="227"/>
      <c r="BO54" s="228"/>
      <c r="BP54" s="227"/>
      <c r="BQ54" s="227"/>
      <c r="BR54" s="227"/>
      <c r="BS54" s="227"/>
      <c r="BT54" s="227"/>
      <c r="BU54" s="227"/>
      <c r="BV54" s="227"/>
      <c r="BW54" s="227"/>
      <c r="BX54" s="227"/>
      <c r="BY54" s="228"/>
      <c r="BZ54" s="227"/>
      <c r="CA54" s="227"/>
      <c r="CB54" s="227"/>
      <c r="CC54" s="227"/>
      <c r="CD54" s="227"/>
      <c r="CE54" s="227"/>
      <c r="CF54" s="227"/>
      <c r="CG54" s="227"/>
      <c r="CH54" s="227"/>
      <c r="CI54" s="228"/>
      <c r="CJ54" s="227"/>
      <c r="CK54" s="227"/>
      <c r="CL54" s="227"/>
      <c r="CM54" s="227"/>
      <c r="CN54" s="227"/>
      <c r="CO54" s="227"/>
      <c r="CP54" s="227"/>
      <c r="CQ54" s="227"/>
      <c r="CR54" s="227"/>
      <c r="CS54" s="228"/>
      <c r="CT54" s="227"/>
      <c r="CU54" s="227"/>
      <c r="CV54" s="227"/>
      <c r="CW54" s="227"/>
      <c r="CX54" s="227"/>
      <c r="CY54" s="227"/>
      <c r="CZ54" s="227"/>
      <c r="DA54" s="227"/>
      <c r="DB54" s="227"/>
      <c r="DC54" s="229"/>
    </row>
    <row r="55" spans="2:111" x14ac:dyDescent="0.2">
      <c r="B55" s="211"/>
      <c r="C55" s="610"/>
      <c r="D55" s="212" t="str">
        <f>'Technology Matrix'!B34</f>
        <v>Compact and Open Space Development</v>
      </c>
      <c r="E55" s="253">
        <f>'Technology Matrix'!S34</f>
        <v>100</v>
      </c>
      <c r="F55" s="213">
        <f>'Technology Matrix'!T34</f>
        <v>100</v>
      </c>
      <c r="G55" s="215" t="str">
        <f t="shared" ref="G55:BR55" si="38">IF(AND(G$3&gt;=$E55,G$3&lt;=$F55),"T","F")</f>
        <v>F</v>
      </c>
      <c r="H55" s="214" t="str">
        <f t="shared" si="38"/>
        <v>F</v>
      </c>
      <c r="I55" s="214" t="str">
        <f t="shared" si="38"/>
        <v>F</v>
      </c>
      <c r="J55" s="214" t="str">
        <f t="shared" si="38"/>
        <v>F</v>
      </c>
      <c r="K55" s="214" t="str">
        <f t="shared" si="38"/>
        <v>F</v>
      </c>
      <c r="L55" s="214" t="str">
        <f t="shared" si="38"/>
        <v>F</v>
      </c>
      <c r="M55" s="214" t="str">
        <f t="shared" si="38"/>
        <v>F</v>
      </c>
      <c r="N55" s="214" t="str">
        <f t="shared" si="38"/>
        <v>F</v>
      </c>
      <c r="O55" s="214" t="str">
        <f t="shared" si="38"/>
        <v>F</v>
      </c>
      <c r="P55" s="214" t="str">
        <f t="shared" si="38"/>
        <v>F</v>
      </c>
      <c r="Q55" s="215" t="str">
        <f t="shared" si="38"/>
        <v>F</v>
      </c>
      <c r="R55" s="214" t="str">
        <f t="shared" si="38"/>
        <v>F</v>
      </c>
      <c r="S55" s="214" t="str">
        <f t="shared" si="38"/>
        <v>F</v>
      </c>
      <c r="T55" s="214" t="str">
        <f t="shared" si="38"/>
        <v>F</v>
      </c>
      <c r="U55" s="214" t="str">
        <f t="shared" si="38"/>
        <v>F</v>
      </c>
      <c r="V55" s="214" t="str">
        <f t="shared" si="38"/>
        <v>F</v>
      </c>
      <c r="W55" s="214" t="str">
        <f t="shared" si="38"/>
        <v>F</v>
      </c>
      <c r="X55" s="214" t="str">
        <f t="shared" si="38"/>
        <v>F</v>
      </c>
      <c r="Y55" s="214" t="str">
        <f t="shared" si="38"/>
        <v>F</v>
      </c>
      <c r="Z55" s="214" t="str">
        <f t="shared" si="38"/>
        <v>F</v>
      </c>
      <c r="AA55" s="215" t="str">
        <f t="shared" si="38"/>
        <v>F</v>
      </c>
      <c r="AB55" s="214" t="str">
        <f t="shared" si="38"/>
        <v>F</v>
      </c>
      <c r="AC55" s="214" t="str">
        <f t="shared" si="38"/>
        <v>F</v>
      </c>
      <c r="AD55" s="214" t="str">
        <f t="shared" si="38"/>
        <v>F</v>
      </c>
      <c r="AE55" s="214" t="str">
        <f t="shared" si="38"/>
        <v>F</v>
      </c>
      <c r="AF55" s="214" t="str">
        <f t="shared" si="38"/>
        <v>F</v>
      </c>
      <c r="AG55" s="214" t="str">
        <f t="shared" si="38"/>
        <v>F</v>
      </c>
      <c r="AH55" s="214" t="str">
        <f t="shared" si="38"/>
        <v>F</v>
      </c>
      <c r="AI55" s="214" t="str">
        <f t="shared" si="38"/>
        <v>F</v>
      </c>
      <c r="AJ55" s="214" t="str">
        <f t="shared" si="38"/>
        <v>F</v>
      </c>
      <c r="AK55" s="215" t="str">
        <f t="shared" si="38"/>
        <v>F</v>
      </c>
      <c r="AL55" s="214" t="str">
        <f t="shared" si="38"/>
        <v>F</v>
      </c>
      <c r="AM55" s="214" t="str">
        <f t="shared" si="38"/>
        <v>F</v>
      </c>
      <c r="AN55" s="214" t="str">
        <f t="shared" si="38"/>
        <v>F</v>
      </c>
      <c r="AO55" s="214" t="str">
        <f t="shared" si="38"/>
        <v>F</v>
      </c>
      <c r="AP55" s="214" t="str">
        <f t="shared" si="38"/>
        <v>F</v>
      </c>
      <c r="AQ55" s="214" t="str">
        <f t="shared" si="38"/>
        <v>F</v>
      </c>
      <c r="AR55" s="214" t="str">
        <f t="shared" si="38"/>
        <v>F</v>
      </c>
      <c r="AS55" s="214" t="str">
        <f t="shared" si="38"/>
        <v>F</v>
      </c>
      <c r="AT55" s="214" t="str">
        <f t="shared" si="38"/>
        <v>F</v>
      </c>
      <c r="AU55" s="215" t="str">
        <f t="shared" si="38"/>
        <v>F</v>
      </c>
      <c r="AV55" s="214" t="str">
        <f t="shared" si="38"/>
        <v>F</v>
      </c>
      <c r="AW55" s="214" t="str">
        <f t="shared" si="38"/>
        <v>F</v>
      </c>
      <c r="AX55" s="214" t="str">
        <f t="shared" si="38"/>
        <v>F</v>
      </c>
      <c r="AY55" s="214" t="str">
        <f t="shared" si="38"/>
        <v>F</v>
      </c>
      <c r="AZ55" s="214" t="str">
        <f t="shared" si="38"/>
        <v>F</v>
      </c>
      <c r="BA55" s="214" t="str">
        <f t="shared" si="38"/>
        <v>F</v>
      </c>
      <c r="BB55" s="214" t="str">
        <f t="shared" si="38"/>
        <v>F</v>
      </c>
      <c r="BC55" s="214" t="str">
        <f t="shared" si="38"/>
        <v>F</v>
      </c>
      <c r="BD55" s="214" t="str">
        <f t="shared" si="38"/>
        <v>F</v>
      </c>
      <c r="BE55" s="215" t="str">
        <f t="shared" si="38"/>
        <v>F</v>
      </c>
      <c r="BF55" s="214" t="str">
        <f t="shared" si="38"/>
        <v>F</v>
      </c>
      <c r="BG55" s="214" t="str">
        <f t="shared" si="38"/>
        <v>F</v>
      </c>
      <c r="BH55" s="214" t="str">
        <f t="shared" si="38"/>
        <v>F</v>
      </c>
      <c r="BI55" s="214" t="str">
        <f t="shared" si="38"/>
        <v>F</v>
      </c>
      <c r="BJ55" s="214" t="str">
        <f t="shared" si="38"/>
        <v>F</v>
      </c>
      <c r="BK55" s="214" t="str">
        <f t="shared" si="38"/>
        <v>F</v>
      </c>
      <c r="BL55" s="214" t="str">
        <f t="shared" si="38"/>
        <v>F</v>
      </c>
      <c r="BM55" s="214" t="str">
        <f t="shared" si="38"/>
        <v>F</v>
      </c>
      <c r="BN55" s="214" t="str">
        <f t="shared" si="38"/>
        <v>F</v>
      </c>
      <c r="BO55" s="215" t="str">
        <f t="shared" si="38"/>
        <v>F</v>
      </c>
      <c r="BP55" s="214" t="str">
        <f t="shared" si="38"/>
        <v>F</v>
      </c>
      <c r="BQ55" s="214" t="str">
        <f t="shared" si="38"/>
        <v>F</v>
      </c>
      <c r="BR55" s="214" t="str">
        <f t="shared" si="38"/>
        <v>F</v>
      </c>
      <c r="BS55" s="214" t="str">
        <f t="shared" ref="BS55:DC55" si="39">IF(AND(BS$3&gt;=$E55,BS$3&lt;=$F55),"T","F")</f>
        <v>F</v>
      </c>
      <c r="BT55" s="214" t="str">
        <f t="shared" si="39"/>
        <v>F</v>
      </c>
      <c r="BU55" s="214" t="str">
        <f t="shared" si="39"/>
        <v>F</v>
      </c>
      <c r="BV55" s="214" t="str">
        <f t="shared" si="39"/>
        <v>F</v>
      </c>
      <c r="BW55" s="214" t="str">
        <f t="shared" si="39"/>
        <v>F</v>
      </c>
      <c r="BX55" s="214" t="str">
        <f t="shared" si="39"/>
        <v>F</v>
      </c>
      <c r="BY55" s="215" t="str">
        <f t="shared" si="39"/>
        <v>F</v>
      </c>
      <c r="BZ55" s="214" t="str">
        <f t="shared" si="39"/>
        <v>F</v>
      </c>
      <c r="CA55" s="214" t="str">
        <f t="shared" si="39"/>
        <v>F</v>
      </c>
      <c r="CB55" s="214" t="str">
        <f t="shared" si="39"/>
        <v>F</v>
      </c>
      <c r="CC55" s="214" t="str">
        <f t="shared" si="39"/>
        <v>F</v>
      </c>
      <c r="CD55" s="214" t="str">
        <f t="shared" si="39"/>
        <v>F</v>
      </c>
      <c r="CE55" s="214" t="str">
        <f t="shared" si="39"/>
        <v>F</v>
      </c>
      <c r="CF55" s="214" t="str">
        <f t="shared" si="39"/>
        <v>F</v>
      </c>
      <c r="CG55" s="214" t="str">
        <f t="shared" si="39"/>
        <v>F</v>
      </c>
      <c r="CH55" s="214" t="str">
        <f t="shared" si="39"/>
        <v>F</v>
      </c>
      <c r="CI55" s="215" t="str">
        <f t="shared" si="39"/>
        <v>F</v>
      </c>
      <c r="CJ55" s="214" t="str">
        <f t="shared" si="39"/>
        <v>F</v>
      </c>
      <c r="CK55" s="214" t="str">
        <f t="shared" si="39"/>
        <v>F</v>
      </c>
      <c r="CL55" s="214" t="str">
        <f t="shared" si="39"/>
        <v>F</v>
      </c>
      <c r="CM55" s="214" t="str">
        <f t="shared" si="39"/>
        <v>F</v>
      </c>
      <c r="CN55" s="214" t="str">
        <f t="shared" si="39"/>
        <v>F</v>
      </c>
      <c r="CO55" s="214" t="str">
        <f t="shared" si="39"/>
        <v>F</v>
      </c>
      <c r="CP55" s="214" t="str">
        <f t="shared" si="39"/>
        <v>F</v>
      </c>
      <c r="CQ55" s="214" t="str">
        <f t="shared" si="39"/>
        <v>F</v>
      </c>
      <c r="CR55" s="214" t="str">
        <f t="shared" si="39"/>
        <v>F</v>
      </c>
      <c r="CS55" s="215" t="str">
        <f t="shared" si="39"/>
        <v>F</v>
      </c>
      <c r="CT55" s="214" t="str">
        <f t="shared" si="39"/>
        <v>F</v>
      </c>
      <c r="CU55" s="214" t="str">
        <f t="shared" si="39"/>
        <v>F</v>
      </c>
      <c r="CV55" s="214" t="str">
        <f t="shared" si="39"/>
        <v>F</v>
      </c>
      <c r="CW55" s="214" t="str">
        <f t="shared" si="39"/>
        <v>F</v>
      </c>
      <c r="CX55" s="214" t="str">
        <f t="shared" si="39"/>
        <v>F</v>
      </c>
      <c r="CY55" s="214" t="str">
        <f t="shared" si="39"/>
        <v>F</v>
      </c>
      <c r="CZ55" s="214" t="str">
        <f t="shared" si="39"/>
        <v>F</v>
      </c>
      <c r="DA55" s="214" t="str">
        <f t="shared" si="39"/>
        <v>F</v>
      </c>
      <c r="DB55" s="214" t="str">
        <f t="shared" si="39"/>
        <v>F</v>
      </c>
      <c r="DC55" s="216" t="str">
        <f t="shared" si="39"/>
        <v>T</v>
      </c>
    </row>
    <row r="56" spans="2:111" x14ac:dyDescent="0.2">
      <c r="B56" s="211"/>
      <c r="C56" s="610"/>
      <c r="D56" s="212"/>
      <c r="E56" s="253"/>
      <c r="F56" s="213"/>
      <c r="G56" s="226"/>
      <c r="H56" s="227"/>
      <c r="I56" s="227"/>
      <c r="J56" s="227"/>
      <c r="K56" s="227"/>
      <c r="L56" s="227"/>
      <c r="M56" s="227"/>
      <c r="N56" s="227"/>
      <c r="O56" s="227"/>
      <c r="P56" s="227"/>
      <c r="Q56" s="228"/>
      <c r="R56" s="227"/>
      <c r="S56" s="227"/>
      <c r="T56" s="227"/>
      <c r="U56" s="227"/>
      <c r="V56" s="227"/>
      <c r="W56" s="227"/>
      <c r="X56" s="227"/>
      <c r="Y56" s="227"/>
      <c r="Z56" s="227"/>
      <c r="AA56" s="228"/>
      <c r="AB56" s="227"/>
      <c r="AC56" s="227"/>
      <c r="AD56" s="227"/>
      <c r="AE56" s="227"/>
      <c r="AF56" s="227"/>
      <c r="AG56" s="227"/>
      <c r="AH56" s="227"/>
      <c r="AI56" s="227"/>
      <c r="AJ56" s="227"/>
      <c r="AK56" s="228"/>
      <c r="AL56" s="227"/>
      <c r="AM56" s="227"/>
      <c r="AN56" s="227"/>
      <c r="AO56" s="227"/>
      <c r="AP56" s="227"/>
      <c r="AQ56" s="227"/>
      <c r="AR56" s="227"/>
      <c r="AS56" s="227"/>
      <c r="AT56" s="227"/>
      <c r="AU56" s="228"/>
      <c r="AV56" s="227"/>
      <c r="AW56" s="227"/>
      <c r="AX56" s="227"/>
      <c r="AY56" s="227"/>
      <c r="AZ56" s="227"/>
      <c r="BA56" s="227"/>
      <c r="BB56" s="227"/>
      <c r="BC56" s="227"/>
      <c r="BD56" s="227"/>
      <c r="BE56" s="228"/>
      <c r="BF56" s="227"/>
      <c r="BG56" s="227"/>
      <c r="BH56" s="227"/>
      <c r="BI56" s="227"/>
      <c r="BJ56" s="227"/>
      <c r="BK56" s="227"/>
      <c r="BL56" s="227"/>
      <c r="BM56" s="227"/>
      <c r="BN56" s="227"/>
      <c r="BO56" s="228"/>
      <c r="BP56" s="227"/>
      <c r="BQ56" s="227"/>
      <c r="BR56" s="227"/>
      <c r="BS56" s="227"/>
      <c r="BT56" s="227"/>
      <c r="BU56" s="227"/>
      <c r="BV56" s="227"/>
      <c r="BW56" s="227"/>
      <c r="BX56" s="227"/>
      <c r="BY56" s="228"/>
      <c r="BZ56" s="227"/>
      <c r="CA56" s="227"/>
      <c r="CB56" s="227"/>
      <c r="CC56" s="227"/>
      <c r="CD56" s="227"/>
      <c r="CE56" s="227"/>
      <c r="CF56" s="227"/>
      <c r="CG56" s="227"/>
      <c r="CH56" s="227"/>
      <c r="CI56" s="228"/>
      <c r="CJ56" s="227"/>
      <c r="CK56" s="227"/>
      <c r="CL56" s="227"/>
      <c r="CM56" s="227"/>
      <c r="CN56" s="227"/>
      <c r="CO56" s="227"/>
      <c r="CP56" s="227"/>
      <c r="CQ56" s="227"/>
      <c r="CR56" s="227"/>
      <c r="CS56" s="228"/>
      <c r="CT56" s="227"/>
      <c r="CU56" s="227"/>
      <c r="CV56" s="227"/>
      <c r="CW56" s="227"/>
      <c r="CX56" s="227"/>
      <c r="CY56" s="227"/>
      <c r="CZ56" s="227"/>
      <c r="DA56" s="227"/>
      <c r="DB56" s="227"/>
      <c r="DC56" s="229"/>
    </row>
    <row r="57" spans="2:111" x14ac:dyDescent="0.2">
      <c r="B57" s="211"/>
      <c r="C57" s="610"/>
      <c r="D57" s="212" t="str">
        <f>'Technology Matrix'!B35</f>
        <v>Transfer of Development Rights</v>
      </c>
      <c r="E57" s="253">
        <f>'Technology Matrix'!S35</f>
        <v>100</v>
      </c>
      <c r="F57" s="213">
        <f>'Technology Matrix'!T35</f>
        <v>100</v>
      </c>
      <c r="G57" s="215" t="str">
        <f t="shared" ref="G57:BR57" si="40">IF(AND(G$3&gt;=$E57,G$3&lt;=$F57),"T","F")</f>
        <v>F</v>
      </c>
      <c r="H57" s="214" t="str">
        <f t="shared" si="40"/>
        <v>F</v>
      </c>
      <c r="I57" s="214" t="str">
        <f t="shared" si="40"/>
        <v>F</v>
      </c>
      <c r="J57" s="214" t="str">
        <f t="shared" si="40"/>
        <v>F</v>
      </c>
      <c r="K57" s="214" t="str">
        <f t="shared" si="40"/>
        <v>F</v>
      </c>
      <c r="L57" s="214" t="str">
        <f t="shared" si="40"/>
        <v>F</v>
      </c>
      <c r="M57" s="214" t="str">
        <f t="shared" si="40"/>
        <v>F</v>
      </c>
      <c r="N57" s="214" t="str">
        <f t="shared" si="40"/>
        <v>F</v>
      </c>
      <c r="O57" s="214" t="str">
        <f t="shared" si="40"/>
        <v>F</v>
      </c>
      <c r="P57" s="214" t="str">
        <f t="shared" si="40"/>
        <v>F</v>
      </c>
      <c r="Q57" s="215" t="str">
        <f t="shared" si="40"/>
        <v>F</v>
      </c>
      <c r="R57" s="214" t="str">
        <f t="shared" si="40"/>
        <v>F</v>
      </c>
      <c r="S57" s="214" t="str">
        <f t="shared" si="40"/>
        <v>F</v>
      </c>
      <c r="T57" s="214" t="str">
        <f t="shared" si="40"/>
        <v>F</v>
      </c>
      <c r="U57" s="214" t="str">
        <f t="shared" si="40"/>
        <v>F</v>
      </c>
      <c r="V57" s="214" t="str">
        <f t="shared" si="40"/>
        <v>F</v>
      </c>
      <c r="W57" s="214" t="str">
        <f t="shared" si="40"/>
        <v>F</v>
      </c>
      <c r="X57" s="214" t="str">
        <f t="shared" si="40"/>
        <v>F</v>
      </c>
      <c r="Y57" s="214" t="str">
        <f t="shared" si="40"/>
        <v>F</v>
      </c>
      <c r="Z57" s="214" t="str">
        <f t="shared" si="40"/>
        <v>F</v>
      </c>
      <c r="AA57" s="215" t="str">
        <f t="shared" si="40"/>
        <v>F</v>
      </c>
      <c r="AB57" s="214" t="str">
        <f t="shared" si="40"/>
        <v>F</v>
      </c>
      <c r="AC57" s="214" t="str">
        <f t="shared" si="40"/>
        <v>F</v>
      </c>
      <c r="AD57" s="214" t="str">
        <f t="shared" si="40"/>
        <v>F</v>
      </c>
      <c r="AE57" s="214" t="str">
        <f t="shared" si="40"/>
        <v>F</v>
      </c>
      <c r="AF57" s="214" t="str">
        <f t="shared" si="40"/>
        <v>F</v>
      </c>
      <c r="AG57" s="214" t="str">
        <f t="shared" si="40"/>
        <v>F</v>
      </c>
      <c r="AH57" s="214" t="str">
        <f t="shared" si="40"/>
        <v>F</v>
      </c>
      <c r="AI57" s="214" t="str">
        <f t="shared" si="40"/>
        <v>F</v>
      </c>
      <c r="AJ57" s="214" t="str">
        <f t="shared" si="40"/>
        <v>F</v>
      </c>
      <c r="AK57" s="215" t="str">
        <f t="shared" si="40"/>
        <v>F</v>
      </c>
      <c r="AL57" s="214" t="str">
        <f t="shared" si="40"/>
        <v>F</v>
      </c>
      <c r="AM57" s="214" t="str">
        <f t="shared" si="40"/>
        <v>F</v>
      </c>
      <c r="AN57" s="214" t="str">
        <f t="shared" si="40"/>
        <v>F</v>
      </c>
      <c r="AO57" s="214" t="str">
        <f t="shared" si="40"/>
        <v>F</v>
      </c>
      <c r="AP57" s="214" t="str">
        <f t="shared" si="40"/>
        <v>F</v>
      </c>
      <c r="AQ57" s="214" t="str">
        <f t="shared" si="40"/>
        <v>F</v>
      </c>
      <c r="AR57" s="214" t="str">
        <f t="shared" si="40"/>
        <v>F</v>
      </c>
      <c r="AS57" s="214" t="str">
        <f t="shared" si="40"/>
        <v>F</v>
      </c>
      <c r="AT57" s="214" t="str">
        <f t="shared" si="40"/>
        <v>F</v>
      </c>
      <c r="AU57" s="215" t="str">
        <f t="shared" si="40"/>
        <v>F</v>
      </c>
      <c r="AV57" s="214" t="str">
        <f t="shared" si="40"/>
        <v>F</v>
      </c>
      <c r="AW57" s="214" t="str">
        <f t="shared" si="40"/>
        <v>F</v>
      </c>
      <c r="AX57" s="214" t="str">
        <f t="shared" si="40"/>
        <v>F</v>
      </c>
      <c r="AY57" s="214" t="str">
        <f t="shared" si="40"/>
        <v>F</v>
      </c>
      <c r="AZ57" s="214" t="str">
        <f t="shared" si="40"/>
        <v>F</v>
      </c>
      <c r="BA57" s="214" t="str">
        <f t="shared" si="40"/>
        <v>F</v>
      </c>
      <c r="BB57" s="214" t="str">
        <f t="shared" si="40"/>
        <v>F</v>
      </c>
      <c r="BC57" s="214" t="str">
        <f t="shared" si="40"/>
        <v>F</v>
      </c>
      <c r="BD57" s="214" t="str">
        <f t="shared" si="40"/>
        <v>F</v>
      </c>
      <c r="BE57" s="215" t="str">
        <f t="shared" si="40"/>
        <v>F</v>
      </c>
      <c r="BF57" s="214" t="str">
        <f t="shared" si="40"/>
        <v>F</v>
      </c>
      <c r="BG57" s="214" t="str">
        <f t="shared" si="40"/>
        <v>F</v>
      </c>
      <c r="BH57" s="214" t="str">
        <f t="shared" si="40"/>
        <v>F</v>
      </c>
      <c r="BI57" s="214" t="str">
        <f t="shared" si="40"/>
        <v>F</v>
      </c>
      <c r="BJ57" s="214" t="str">
        <f t="shared" si="40"/>
        <v>F</v>
      </c>
      <c r="BK57" s="214" t="str">
        <f t="shared" si="40"/>
        <v>F</v>
      </c>
      <c r="BL57" s="214" t="str">
        <f t="shared" si="40"/>
        <v>F</v>
      </c>
      <c r="BM57" s="214" t="str">
        <f t="shared" si="40"/>
        <v>F</v>
      </c>
      <c r="BN57" s="214" t="str">
        <f t="shared" si="40"/>
        <v>F</v>
      </c>
      <c r="BO57" s="215" t="str">
        <f t="shared" si="40"/>
        <v>F</v>
      </c>
      <c r="BP57" s="214" t="str">
        <f t="shared" si="40"/>
        <v>F</v>
      </c>
      <c r="BQ57" s="214" t="str">
        <f t="shared" si="40"/>
        <v>F</v>
      </c>
      <c r="BR57" s="214" t="str">
        <f t="shared" si="40"/>
        <v>F</v>
      </c>
      <c r="BS57" s="214" t="str">
        <f t="shared" ref="BS57:DC57" si="41">IF(AND(BS$3&gt;=$E57,BS$3&lt;=$F57),"T","F")</f>
        <v>F</v>
      </c>
      <c r="BT57" s="214" t="str">
        <f t="shared" si="41"/>
        <v>F</v>
      </c>
      <c r="BU57" s="214" t="str">
        <f t="shared" si="41"/>
        <v>F</v>
      </c>
      <c r="BV57" s="214" t="str">
        <f t="shared" si="41"/>
        <v>F</v>
      </c>
      <c r="BW57" s="214" t="str">
        <f t="shared" si="41"/>
        <v>F</v>
      </c>
      <c r="BX57" s="214" t="str">
        <f t="shared" si="41"/>
        <v>F</v>
      </c>
      <c r="BY57" s="215" t="str">
        <f t="shared" si="41"/>
        <v>F</v>
      </c>
      <c r="BZ57" s="214" t="str">
        <f t="shared" si="41"/>
        <v>F</v>
      </c>
      <c r="CA57" s="214" t="str">
        <f t="shared" si="41"/>
        <v>F</v>
      </c>
      <c r="CB57" s="214" t="str">
        <f t="shared" si="41"/>
        <v>F</v>
      </c>
      <c r="CC57" s="214" t="str">
        <f t="shared" si="41"/>
        <v>F</v>
      </c>
      <c r="CD57" s="214" t="str">
        <f t="shared" si="41"/>
        <v>F</v>
      </c>
      <c r="CE57" s="214" t="str">
        <f t="shared" si="41"/>
        <v>F</v>
      </c>
      <c r="CF57" s="214" t="str">
        <f t="shared" si="41"/>
        <v>F</v>
      </c>
      <c r="CG57" s="214" t="str">
        <f t="shared" si="41"/>
        <v>F</v>
      </c>
      <c r="CH57" s="214" t="str">
        <f t="shared" si="41"/>
        <v>F</v>
      </c>
      <c r="CI57" s="215" t="str">
        <f t="shared" si="41"/>
        <v>F</v>
      </c>
      <c r="CJ57" s="214" t="str">
        <f t="shared" si="41"/>
        <v>F</v>
      </c>
      <c r="CK57" s="214" t="str">
        <f t="shared" si="41"/>
        <v>F</v>
      </c>
      <c r="CL57" s="214" t="str">
        <f t="shared" si="41"/>
        <v>F</v>
      </c>
      <c r="CM57" s="214" t="str">
        <f t="shared" si="41"/>
        <v>F</v>
      </c>
      <c r="CN57" s="214" t="str">
        <f t="shared" si="41"/>
        <v>F</v>
      </c>
      <c r="CO57" s="214" t="str">
        <f t="shared" si="41"/>
        <v>F</v>
      </c>
      <c r="CP57" s="214" t="str">
        <f t="shared" si="41"/>
        <v>F</v>
      </c>
      <c r="CQ57" s="214" t="str">
        <f t="shared" si="41"/>
        <v>F</v>
      </c>
      <c r="CR57" s="214" t="str">
        <f t="shared" si="41"/>
        <v>F</v>
      </c>
      <c r="CS57" s="215" t="str">
        <f t="shared" si="41"/>
        <v>F</v>
      </c>
      <c r="CT57" s="214" t="str">
        <f t="shared" si="41"/>
        <v>F</v>
      </c>
      <c r="CU57" s="214" t="str">
        <f t="shared" si="41"/>
        <v>F</v>
      </c>
      <c r="CV57" s="214" t="str">
        <f t="shared" si="41"/>
        <v>F</v>
      </c>
      <c r="CW57" s="214" t="str">
        <f t="shared" si="41"/>
        <v>F</v>
      </c>
      <c r="CX57" s="214" t="str">
        <f t="shared" si="41"/>
        <v>F</v>
      </c>
      <c r="CY57" s="214" t="str">
        <f t="shared" si="41"/>
        <v>F</v>
      </c>
      <c r="CZ57" s="214" t="str">
        <f t="shared" si="41"/>
        <v>F</v>
      </c>
      <c r="DA57" s="214" t="str">
        <f t="shared" si="41"/>
        <v>F</v>
      </c>
      <c r="DB57" s="214" t="str">
        <f t="shared" si="41"/>
        <v>F</v>
      </c>
      <c r="DC57" s="216" t="str">
        <f t="shared" si="41"/>
        <v>T</v>
      </c>
    </row>
    <row r="58" spans="2:111" s="220" customFormat="1" x14ac:dyDescent="0.2">
      <c r="B58" s="221"/>
      <c r="C58" s="232"/>
      <c r="D58" s="212"/>
      <c r="E58" s="253"/>
      <c r="F58" s="213"/>
      <c r="G58" s="226"/>
      <c r="H58" s="227"/>
      <c r="I58" s="227"/>
      <c r="J58" s="227"/>
      <c r="K58" s="227"/>
      <c r="L58" s="227"/>
      <c r="M58" s="227"/>
      <c r="N58" s="227"/>
      <c r="O58" s="227"/>
      <c r="P58" s="227"/>
      <c r="Q58" s="228"/>
      <c r="R58" s="227"/>
      <c r="S58" s="227"/>
      <c r="T58" s="227"/>
      <c r="U58" s="227"/>
      <c r="V58" s="227"/>
      <c r="W58" s="227"/>
      <c r="X58" s="227"/>
      <c r="Y58" s="227"/>
      <c r="Z58" s="227"/>
      <c r="AA58" s="228"/>
      <c r="AB58" s="227"/>
      <c r="AC58" s="227"/>
      <c r="AD58" s="227"/>
      <c r="AE58" s="227"/>
      <c r="AF58" s="227"/>
      <c r="AG58" s="227"/>
      <c r="AH58" s="227"/>
      <c r="AI58" s="227"/>
      <c r="AJ58" s="227"/>
      <c r="AK58" s="228"/>
      <c r="AL58" s="227"/>
      <c r="AM58" s="227"/>
      <c r="AN58" s="227"/>
      <c r="AO58" s="227"/>
      <c r="AP58" s="227"/>
      <c r="AQ58" s="227"/>
      <c r="AR58" s="227"/>
      <c r="AS58" s="227"/>
      <c r="AT58" s="227"/>
      <c r="AU58" s="228"/>
      <c r="AV58" s="227"/>
      <c r="AW58" s="227"/>
      <c r="AX58" s="227"/>
      <c r="AY58" s="227"/>
      <c r="AZ58" s="227"/>
      <c r="BA58" s="227"/>
      <c r="BB58" s="227"/>
      <c r="BC58" s="227"/>
      <c r="BD58" s="227"/>
      <c r="BE58" s="228"/>
      <c r="BF58" s="227"/>
      <c r="BG58" s="227"/>
      <c r="BH58" s="227"/>
      <c r="BI58" s="227"/>
      <c r="BJ58" s="227"/>
      <c r="BK58" s="227"/>
      <c r="BL58" s="227"/>
      <c r="BM58" s="227"/>
      <c r="BN58" s="227"/>
      <c r="BO58" s="228"/>
      <c r="BP58" s="227"/>
      <c r="BQ58" s="227"/>
      <c r="BR58" s="227"/>
      <c r="BS58" s="227"/>
      <c r="BT58" s="227"/>
      <c r="BU58" s="227"/>
      <c r="BV58" s="227"/>
      <c r="BW58" s="227"/>
      <c r="BX58" s="227"/>
      <c r="BY58" s="228"/>
      <c r="BZ58" s="227"/>
      <c r="CA58" s="227"/>
      <c r="CB58" s="227"/>
      <c r="CC58" s="227"/>
      <c r="CD58" s="227"/>
      <c r="CE58" s="227"/>
      <c r="CF58" s="227"/>
      <c r="CG58" s="227"/>
      <c r="CH58" s="227"/>
      <c r="CI58" s="228"/>
      <c r="CJ58" s="227"/>
      <c r="CK58" s="227"/>
      <c r="CL58" s="227"/>
      <c r="CM58" s="227"/>
      <c r="CN58" s="227"/>
      <c r="CO58" s="227"/>
      <c r="CP58" s="227"/>
      <c r="CQ58" s="227"/>
      <c r="CR58" s="227"/>
      <c r="CS58" s="228"/>
      <c r="CT58" s="227"/>
      <c r="CU58" s="227"/>
      <c r="CV58" s="227"/>
      <c r="CW58" s="227"/>
      <c r="CX58" s="227"/>
      <c r="CY58" s="227"/>
      <c r="CZ58" s="227"/>
      <c r="DA58" s="227"/>
      <c r="DB58" s="227"/>
      <c r="DC58" s="229"/>
      <c r="DD58" s="233"/>
      <c r="DE58" s="233"/>
      <c r="DF58" s="233"/>
      <c r="DG58" s="233"/>
    </row>
    <row r="59" spans="2:111" ht="12.75" customHeight="1" x14ac:dyDescent="0.2">
      <c r="B59" s="211"/>
      <c r="C59" s="611" t="str">
        <f>'Technology Matrix'!A36</f>
        <v>System Alterations</v>
      </c>
      <c r="D59" s="212" t="str">
        <f>'Technology Matrix'!B36</f>
        <v>Inlet / Culvert Widening</v>
      </c>
      <c r="E59" s="253">
        <f>'Technology Matrix'!S36</f>
        <v>8</v>
      </c>
      <c r="F59" s="213">
        <f>'Technology Matrix'!T36</f>
        <v>15</v>
      </c>
      <c r="G59" s="215" t="str">
        <f t="shared" ref="G59:BR65" si="42">IF(AND(G$3&gt;=$E59,G$3&lt;=$F59),"T","F")</f>
        <v>F</v>
      </c>
      <c r="H59" s="214" t="str">
        <f t="shared" si="42"/>
        <v>F</v>
      </c>
      <c r="I59" s="214" t="str">
        <f t="shared" si="42"/>
        <v>F</v>
      </c>
      <c r="J59" s="214" t="str">
        <f t="shared" si="42"/>
        <v>F</v>
      </c>
      <c r="K59" s="214" t="str">
        <f t="shared" si="42"/>
        <v>F</v>
      </c>
      <c r="L59" s="214" t="str">
        <f t="shared" si="42"/>
        <v>F</v>
      </c>
      <c r="M59" s="214" t="str">
        <f t="shared" si="42"/>
        <v>F</v>
      </c>
      <c r="N59" s="214" t="str">
        <f t="shared" si="42"/>
        <v>F</v>
      </c>
      <c r="O59" s="214" t="str">
        <f t="shared" si="42"/>
        <v>T</v>
      </c>
      <c r="P59" s="214" t="str">
        <f t="shared" si="42"/>
        <v>T</v>
      </c>
      <c r="Q59" s="215" t="str">
        <f t="shared" ref="Q59:Q65" si="43">IF(AND(Q$3&gt;=$E59,Q$3&lt;=$F59),"T","F")</f>
        <v>T</v>
      </c>
      <c r="R59" s="214" t="str">
        <f t="shared" si="42"/>
        <v>T</v>
      </c>
      <c r="S59" s="214" t="str">
        <f t="shared" si="42"/>
        <v>T</v>
      </c>
      <c r="T59" s="214" t="str">
        <f t="shared" si="42"/>
        <v>T</v>
      </c>
      <c r="U59" s="214" t="str">
        <f t="shared" si="42"/>
        <v>T</v>
      </c>
      <c r="V59" s="214" t="str">
        <f t="shared" si="42"/>
        <v>T</v>
      </c>
      <c r="W59" s="214" t="str">
        <f t="shared" si="42"/>
        <v>F</v>
      </c>
      <c r="X59" s="214" t="str">
        <f t="shared" si="42"/>
        <v>F</v>
      </c>
      <c r="Y59" s="214" t="str">
        <f t="shared" si="42"/>
        <v>F</v>
      </c>
      <c r="Z59" s="214" t="str">
        <f t="shared" si="42"/>
        <v>F</v>
      </c>
      <c r="AA59" s="215" t="str">
        <f t="shared" si="42"/>
        <v>F</v>
      </c>
      <c r="AB59" s="214" t="str">
        <f t="shared" si="42"/>
        <v>F</v>
      </c>
      <c r="AC59" s="214" t="str">
        <f t="shared" si="42"/>
        <v>F</v>
      </c>
      <c r="AD59" s="214" t="str">
        <f t="shared" si="42"/>
        <v>F</v>
      </c>
      <c r="AE59" s="214" t="str">
        <f t="shared" si="42"/>
        <v>F</v>
      </c>
      <c r="AF59" s="214" t="str">
        <f t="shared" si="42"/>
        <v>F</v>
      </c>
      <c r="AG59" s="214" t="str">
        <f t="shared" si="42"/>
        <v>F</v>
      </c>
      <c r="AH59" s="214" t="str">
        <f t="shared" si="42"/>
        <v>F</v>
      </c>
      <c r="AI59" s="214" t="str">
        <f t="shared" si="42"/>
        <v>F</v>
      </c>
      <c r="AJ59" s="214" t="str">
        <f t="shared" si="42"/>
        <v>F</v>
      </c>
      <c r="AK59" s="215" t="str">
        <f t="shared" si="42"/>
        <v>F</v>
      </c>
      <c r="AL59" s="214" t="str">
        <f t="shared" si="42"/>
        <v>F</v>
      </c>
      <c r="AM59" s="214" t="str">
        <f t="shared" si="42"/>
        <v>F</v>
      </c>
      <c r="AN59" s="214" t="str">
        <f t="shared" si="42"/>
        <v>F</v>
      </c>
      <c r="AO59" s="214" t="str">
        <f t="shared" si="42"/>
        <v>F</v>
      </c>
      <c r="AP59" s="214" t="str">
        <f t="shared" si="42"/>
        <v>F</v>
      </c>
      <c r="AQ59" s="214" t="str">
        <f t="shared" si="42"/>
        <v>F</v>
      </c>
      <c r="AR59" s="214" t="str">
        <f t="shared" si="42"/>
        <v>F</v>
      </c>
      <c r="AS59" s="214" t="str">
        <f t="shared" si="42"/>
        <v>F</v>
      </c>
      <c r="AT59" s="214" t="str">
        <f t="shared" si="42"/>
        <v>F</v>
      </c>
      <c r="AU59" s="215" t="str">
        <f t="shared" si="42"/>
        <v>F</v>
      </c>
      <c r="AV59" s="214" t="str">
        <f t="shared" si="42"/>
        <v>F</v>
      </c>
      <c r="AW59" s="214" t="str">
        <f t="shared" si="42"/>
        <v>F</v>
      </c>
      <c r="AX59" s="214" t="str">
        <f t="shared" si="42"/>
        <v>F</v>
      </c>
      <c r="AY59" s="214" t="str">
        <f t="shared" si="42"/>
        <v>F</v>
      </c>
      <c r="AZ59" s="214" t="str">
        <f t="shared" si="42"/>
        <v>F</v>
      </c>
      <c r="BA59" s="214" t="str">
        <f t="shared" si="42"/>
        <v>F</v>
      </c>
      <c r="BB59" s="214" t="str">
        <f t="shared" si="42"/>
        <v>F</v>
      </c>
      <c r="BC59" s="214" t="str">
        <f t="shared" si="42"/>
        <v>F</v>
      </c>
      <c r="BD59" s="214" t="str">
        <f t="shared" si="42"/>
        <v>F</v>
      </c>
      <c r="BE59" s="215" t="str">
        <f t="shared" si="42"/>
        <v>F</v>
      </c>
      <c r="BF59" s="214" t="str">
        <f t="shared" si="42"/>
        <v>F</v>
      </c>
      <c r="BG59" s="214" t="str">
        <f t="shared" si="42"/>
        <v>F</v>
      </c>
      <c r="BH59" s="214" t="str">
        <f t="shared" si="42"/>
        <v>F</v>
      </c>
      <c r="BI59" s="214" t="str">
        <f t="shared" si="42"/>
        <v>F</v>
      </c>
      <c r="BJ59" s="214" t="str">
        <f t="shared" si="42"/>
        <v>F</v>
      </c>
      <c r="BK59" s="214" t="str">
        <f t="shared" si="42"/>
        <v>F</v>
      </c>
      <c r="BL59" s="214" t="str">
        <f t="shared" si="42"/>
        <v>F</v>
      </c>
      <c r="BM59" s="214" t="str">
        <f t="shared" si="42"/>
        <v>F</v>
      </c>
      <c r="BN59" s="214" t="str">
        <f t="shared" si="42"/>
        <v>F</v>
      </c>
      <c r="BO59" s="215" t="str">
        <f t="shared" si="42"/>
        <v>F</v>
      </c>
      <c r="BP59" s="214" t="str">
        <f t="shared" si="42"/>
        <v>F</v>
      </c>
      <c r="BQ59" s="214" t="str">
        <f t="shared" si="42"/>
        <v>F</v>
      </c>
      <c r="BR59" s="214" t="str">
        <f t="shared" si="42"/>
        <v>F</v>
      </c>
      <c r="BS59" s="214" t="str">
        <f t="shared" ref="BS59:DC71" si="44">IF(AND(BS$3&gt;=$E59,BS$3&lt;=$F59),"T","F")</f>
        <v>F</v>
      </c>
      <c r="BT59" s="214" t="str">
        <f t="shared" si="44"/>
        <v>F</v>
      </c>
      <c r="BU59" s="214" t="str">
        <f t="shared" si="44"/>
        <v>F</v>
      </c>
      <c r="BV59" s="214" t="str">
        <f t="shared" si="44"/>
        <v>F</v>
      </c>
      <c r="BW59" s="214" t="str">
        <f t="shared" si="44"/>
        <v>F</v>
      </c>
      <c r="BX59" s="214" t="str">
        <f t="shared" si="44"/>
        <v>F</v>
      </c>
      <c r="BY59" s="215" t="str">
        <f t="shared" si="44"/>
        <v>F</v>
      </c>
      <c r="BZ59" s="214" t="str">
        <f t="shared" si="44"/>
        <v>F</v>
      </c>
      <c r="CA59" s="214" t="str">
        <f t="shared" si="44"/>
        <v>F</v>
      </c>
      <c r="CB59" s="214" t="str">
        <f t="shared" si="44"/>
        <v>F</v>
      </c>
      <c r="CC59" s="214" t="str">
        <f t="shared" si="44"/>
        <v>F</v>
      </c>
      <c r="CD59" s="214" t="str">
        <f t="shared" si="44"/>
        <v>F</v>
      </c>
      <c r="CE59" s="214" t="str">
        <f t="shared" si="44"/>
        <v>F</v>
      </c>
      <c r="CF59" s="214" t="str">
        <f t="shared" si="44"/>
        <v>F</v>
      </c>
      <c r="CG59" s="214" t="str">
        <f t="shared" si="44"/>
        <v>F</v>
      </c>
      <c r="CH59" s="214" t="str">
        <f t="shared" si="44"/>
        <v>F</v>
      </c>
      <c r="CI59" s="215" t="str">
        <f t="shared" si="44"/>
        <v>F</v>
      </c>
      <c r="CJ59" s="214" t="str">
        <f t="shared" si="44"/>
        <v>F</v>
      </c>
      <c r="CK59" s="214" t="str">
        <f t="shared" si="44"/>
        <v>F</v>
      </c>
      <c r="CL59" s="214" t="str">
        <f t="shared" si="44"/>
        <v>F</v>
      </c>
      <c r="CM59" s="214" t="str">
        <f t="shared" si="44"/>
        <v>F</v>
      </c>
      <c r="CN59" s="214" t="str">
        <f t="shared" si="44"/>
        <v>F</v>
      </c>
      <c r="CO59" s="214" t="str">
        <f t="shared" si="44"/>
        <v>F</v>
      </c>
      <c r="CP59" s="214" t="str">
        <f t="shared" si="44"/>
        <v>F</v>
      </c>
      <c r="CQ59" s="214" t="str">
        <f t="shared" si="44"/>
        <v>F</v>
      </c>
      <c r="CR59" s="214" t="str">
        <f t="shared" si="44"/>
        <v>F</v>
      </c>
      <c r="CS59" s="215" t="str">
        <f t="shared" si="44"/>
        <v>F</v>
      </c>
      <c r="CT59" s="214" t="str">
        <f t="shared" si="44"/>
        <v>F</v>
      </c>
      <c r="CU59" s="214" t="str">
        <f t="shared" si="44"/>
        <v>F</v>
      </c>
      <c r="CV59" s="214" t="str">
        <f t="shared" si="44"/>
        <v>F</v>
      </c>
      <c r="CW59" s="214" t="str">
        <f t="shared" si="44"/>
        <v>F</v>
      </c>
      <c r="CX59" s="214" t="str">
        <f t="shared" si="44"/>
        <v>F</v>
      </c>
      <c r="CY59" s="214" t="str">
        <f t="shared" si="44"/>
        <v>F</v>
      </c>
      <c r="CZ59" s="214" t="str">
        <f t="shared" si="44"/>
        <v>F</v>
      </c>
      <c r="DA59" s="214" t="str">
        <f t="shared" si="44"/>
        <v>F</v>
      </c>
      <c r="DB59" s="214" t="str">
        <f t="shared" si="44"/>
        <v>F</v>
      </c>
      <c r="DC59" s="216" t="str">
        <f t="shared" si="44"/>
        <v>F</v>
      </c>
    </row>
    <row r="60" spans="2:111" x14ac:dyDescent="0.2">
      <c r="B60" s="211"/>
      <c r="C60" s="611"/>
      <c r="D60" s="212"/>
      <c r="E60" s="253"/>
      <c r="F60" s="213"/>
      <c r="G60" s="226"/>
      <c r="H60" s="227"/>
      <c r="I60" s="227"/>
      <c r="J60" s="227"/>
      <c r="K60" s="227"/>
      <c r="L60" s="227"/>
      <c r="M60" s="227"/>
      <c r="N60" s="227"/>
      <c r="O60" s="227"/>
      <c r="P60" s="227"/>
      <c r="Q60" s="228"/>
      <c r="R60" s="227"/>
      <c r="S60" s="227"/>
      <c r="T60" s="227"/>
      <c r="U60" s="227"/>
      <c r="V60" s="227"/>
      <c r="W60" s="227"/>
      <c r="X60" s="227"/>
      <c r="Y60" s="227"/>
      <c r="Z60" s="227"/>
      <c r="AA60" s="228"/>
      <c r="AB60" s="227"/>
      <c r="AC60" s="227"/>
      <c r="AD60" s="227"/>
      <c r="AE60" s="227"/>
      <c r="AF60" s="227"/>
      <c r="AG60" s="227"/>
      <c r="AH60" s="227"/>
      <c r="AI60" s="227"/>
      <c r="AJ60" s="227"/>
      <c r="AK60" s="228"/>
      <c r="AL60" s="227"/>
      <c r="AM60" s="227"/>
      <c r="AN60" s="227"/>
      <c r="AO60" s="227"/>
      <c r="AP60" s="227"/>
      <c r="AQ60" s="227"/>
      <c r="AR60" s="227"/>
      <c r="AS60" s="227"/>
      <c r="AT60" s="227"/>
      <c r="AU60" s="228"/>
      <c r="AV60" s="227"/>
      <c r="AW60" s="227"/>
      <c r="AX60" s="227"/>
      <c r="AY60" s="227"/>
      <c r="AZ60" s="227"/>
      <c r="BA60" s="227"/>
      <c r="BB60" s="227"/>
      <c r="BC60" s="227"/>
      <c r="BD60" s="227"/>
      <c r="BE60" s="228"/>
      <c r="BF60" s="227"/>
      <c r="BG60" s="227"/>
      <c r="BH60" s="227"/>
      <c r="BI60" s="227"/>
      <c r="BJ60" s="227"/>
      <c r="BK60" s="227"/>
      <c r="BL60" s="227"/>
      <c r="BM60" s="227"/>
      <c r="BN60" s="227"/>
      <c r="BO60" s="228"/>
      <c r="BP60" s="227"/>
      <c r="BQ60" s="227"/>
      <c r="BR60" s="227"/>
      <c r="BS60" s="227"/>
      <c r="BT60" s="227"/>
      <c r="BU60" s="227"/>
      <c r="BV60" s="227"/>
      <c r="BW60" s="227"/>
      <c r="BX60" s="227"/>
      <c r="BY60" s="228"/>
      <c r="BZ60" s="227"/>
      <c r="CA60" s="227"/>
      <c r="CB60" s="227"/>
      <c r="CC60" s="227"/>
      <c r="CD60" s="227"/>
      <c r="CE60" s="227"/>
      <c r="CF60" s="227"/>
      <c r="CG60" s="227"/>
      <c r="CH60" s="227"/>
      <c r="CI60" s="228"/>
      <c r="CJ60" s="227"/>
      <c r="CK60" s="227"/>
      <c r="CL60" s="227"/>
      <c r="CM60" s="227"/>
      <c r="CN60" s="227"/>
      <c r="CO60" s="227"/>
      <c r="CP60" s="227"/>
      <c r="CQ60" s="227"/>
      <c r="CR60" s="227"/>
      <c r="CS60" s="228"/>
      <c r="CT60" s="227"/>
      <c r="CU60" s="227"/>
      <c r="CV60" s="227"/>
      <c r="CW60" s="227"/>
      <c r="CX60" s="227"/>
      <c r="CY60" s="227"/>
      <c r="CZ60" s="227"/>
      <c r="DA60" s="227"/>
      <c r="DB60" s="227"/>
      <c r="DC60" s="229"/>
    </row>
    <row r="61" spans="2:111" x14ac:dyDescent="0.2">
      <c r="B61" s="211"/>
      <c r="C61" s="611"/>
      <c r="D61" s="212" t="str">
        <f>'Technology Matrix'!B37</f>
        <v>Coastal Habitat Restoration</v>
      </c>
      <c r="E61" s="253">
        <f>'Technology Matrix'!S37</f>
        <v>5</v>
      </c>
      <c r="F61" s="213">
        <f>'Technology Matrix'!T37</f>
        <v>12</v>
      </c>
      <c r="G61" s="215" t="str">
        <f t="shared" si="42"/>
        <v>F</v>
      </c>
      <c r="H61" s="214" t="str">
        <f t="shared" si="42"/>
        <v>F</v>
      </c>
      <c r="I61" s="214" t="str">
        <f t="shared" si="42"/>
        <v>F</v>
      </c>
      <c r="J61" s="214" t="str">
        <f t="shared" si="42"/>
        <v>F</v>
      </c>
      <c r="K61" s="214" t="str">
        <f t="shared" si="42"/>
        <v>F</v>
      </c>
      <c r="L61" s="214" t="str">
        <f t="shared" si="42"/>
        <v>T</v>
      </c>
      <c r="M61" s="214" t="str">
        <f t="shared" si="42"/>
        <v>T</v>
      </c>
      <c r="N61" s="214" t="str">
        <f t="shared" si="42"/>
        <v>T</v>
      </c>
      <c r="O61" s="214" t="str">
        <f t="shared" si="42"/>
        <v>T</v>
      </c>
      <c r="P61" s="214" t="str">
        <f t="shared" si="42"/>
        <v>T</v>
      </c>
      <c r="Q61" s="215" t="str">
        <f t="shared" si="43"/>
        <v>T</v>
      </c>
      <c r="R61" s="214" t="str">
        <f t="shared" si="42"/>
        <v>T</v>
      </c>
      <c r="S61" s="214" t="str">
        <f t="shared" si="42"/>
        <v>T</v>
      </c>
      <c r="T61" s="214" t="str">
        <f t="shared" si="42"/>
        <v>F</v>
      </c>
      <c r="U61" s="214" t="str">
        <f t="shared" si="42"/>
        <v>F</v>
      </c>
      <c r="V61" s="214" t="str">
        <f t="shared" si="42"/>
        <v>F</v>
      </c>
      <c r="W61" s="214" t="str">
        <f t="shared" si="42"/>
        <v>F</v>
      </c>
      <c r="X61" s="214" t="str">
        <f t="shared" si="42"/>
        <v>F</v>
      </c>
      <c r="Y61" s="214" t="str">
        <f t="shared" si="42"/>
        <v>F</v>
      </c>
      <c r="Z61" s="214" t="str">
        <f t="shared" si="42"/>
        <v>F</v>
      </c>
      <c r="AA61" s="215" t="str">
        <f t="shared" si="42"/>
        <v>F</v>
      </c>
      <c r="AB61" s="214" t="str">
        <f t="shared" si="42"/>
        <v>F</v>
      </c>
      <c r="AC61" s="214" t="str">
        <f t="shared" si="42"/>
        <v>F</v>
      </c>
      <c r="AD61" s="214" t="str">
        <f t="shared" si="42"/>
        <v>F</v>
      </c>
      <c r="AE61" s="214" t="str">
        <f t="shared" si="42"/>
        <v>F</v>
      </c>
      <c r="AF61" s="214" t="str">
        <f t="shared" si="42"/>
        <v>F</v>
      </c>
      <c r="AG61" s="214" t="str">
        <f t="shared" si="42"/>
        <v>F</v>
      </c>
      <c r="AH61" s="214" t="str">
        <f t="shared" si="42"/>
        <v>F</v>
      </c>
      <c r="AI61" s="214" t="str">
        <f t="shared" si="42"/>
        <v>F</v>
      </c>
      <c r="AJ61" s="214" t="str">
        <f t="shared" si="42"/>
        <v>F</v>
      </c>
      <c r="AK61" s="215" t="str">
        <f t="shared" si="42"/>
        <v>F</v>
      </c>
      <c r="AL61" s="214" t="str">
        <f t="shared" si="42"/>
        <v>F</v>
      </c>
      <c r="AM61" s="214" t="str">
        <f t="shared" si="42"/>
        <v>F</v>
      </c>
      <c r="AN61" s="214" t="str">
        <f t="shared" si="42"/>
        <v>F</v>
      </c>
      <c r="AO61" s="214" t="str">
        <f t="shared" si="42"/>
        <v>F</v>
      </c>
      <c r="AP61" s="214" t="str">
        <f t="shared" si="42"/>
        <v>F</v>
      </c>
      <c r="AQ61" s="214" t="str">
        <f t="shared" si="42"/>
        <v>F</v>
      </c>
      <c r="AR61" s="214" t="str">
        <f t="shared" si="42"/>
        <v>F</v>
      </c>
      <c r="AS61" s="214" t="str">
        <f t="shared" si="42"/>
        <v>F</v>
      </c>
      <c r="AT61" s="214" t="str">
        <f t="shared" si="42"/>
        <v>F</v>
      </c>
      <c r="AU61" s="215" t="str">
        <f t="shared" si="42"/>
        <v>F</v>
      </c>
      <c r="AV61" s="214" t="str">
        <f t="shared" si="42"/>
        <v>F</v>
      </c>
      <c r="AW61" s="214" t="str">
        <f t="shared" si="42"/>
        <v>F</v>
      </c>
      <c r="AX61" s="214" t="str">
        <f t="shared" si="42"/>
        <v>F</v>
      </c>
      <c r="AY61" s="214" t="str">
        <f t="shared" si="42"/>
        <v>F</v>
      </c>
      <c r="AZ61" s="214" t="str">
        <f t="shared" si="42"/>
        <v>F</v>
      </c>
      <c r="BA61" s="214" t="str">
        <f t="shared" si="42"/>
        <v>F</v>
      </c>
      <c r="BB61" s="214" t="str">
        <f t="shared" si="42"/>
        <v>F</v>
      </c>
      <c r="BC61" s="214" t="str">
        <f t="shared" si="42"/>
        <v>F</v>
      </c>
      <c r="BD61" s="214" t="str">
        <f t="shared" si="42"/>
        <v>F</v>
      </c>
      <c r="BE61" s="215" t="str">
        <f t="shared" si="42"/>
        <v>F</v>
      </c>
      <c r="BF61" s="214" t="str">
        <f t="shared" si="42"/>
        <v>F</v>
      </c>
      <c r="BG61" s="214" t="str">
        <f t="shared" si="42"/>
        <v>F</v>
      </c>
      <c r="BH61" s="214" t="str">
        <f t="shared" si="42"/>
        <v>F</v>
      </c>
      <c r="BI61" s="214" t="str">
        <f t="shared" si="42"/>
        <v>F</v>
      </c>
      <c r="BJ61" s="214" t="str">
        <f t="shared" si="42"/>
        <v>F</v>
      </c>
      <c r="BK61" s="214" t="str">
        <f t="shared" si="42"/>
        <v>F</v>
      </c>
      <c r="BL61" s="214" t="str">
        <f t="shared" si="42"/>
        <v>F</v>
      </c>
      <c r="BM61" s="214" t="str">
        <f t="shared" si="42"/>
        <v>F</v>
      </c>
      <c r="BN61" s="214" t="str">
        <f t="shared" si="42"/>
        <v>F</v>
      </c>
      <c r="BO61" s="215" t="str">
        <f t="shared" si="42"/>
        <v>F</v>
      </c>
      <c r="BP61" s="214" t="str">
        <f t="shared" si="42"/>
        <v>F</v>
      </c>
      <c r="BQ61" s="214" t="str">
        <f t="shared" si="42"/>
        <v>F</v>
      </c>
      <c r="BR61" s="214" t="str">
        <f t="shared" si="42"/>
        <v>F</v>
      </c>
      <c r="BS61" s="214" t="str">
        <f t="shared" si="44"/>
        <v>F</v>
      </c>
      <c r="BT61" s="214" t="str">
        <f t="shared" si="44"/>
        <v>F</v>
      </c>
      <c r="BU61" s="214" t="str">
        <f t="shared" si="44"/>
        <v>F</v>
      </c>
      <c r="BV61" s="214" t="str">
        <f t="shared" si="44"/>
        <v>F</v>
      </c>
      <c r="BW61" s="214" t="str">
        <f t="shared" si="44"/>
        <v>F</v>
      </c>
      <c r="BX61" s="214" t="str">
        <f t="shared" si="44"/>
        <v>F</v>
      </c>
      <c r="BY61" s="215" t="str">
        <f t="shared" si="44"/>
        <v>F</v>
      </c>
      <c r="BZ61" s="214" t="str">
        <f t="shared" si="44"/>
        <v>F</v>
      </c>
      <c r="CA61" s="214" t="str">
        <f t="shared" si="44"/>
        <v>F</v>
      </c>
      <c r="CB61" s="214" t="str">
        <f t="shared" si="44"/>
        <v>F</v>
      </c>
      <c r="CC61" s="214" t="str">
        <f t="shared" si="44"/>
        <v>F</v>
      </c>
      <c r="CD61" s="214" t="str">
        <f t="shared" si="44"/>
        <v>F</v>
      </c>
      <c r="CE61" s="214" t="str">
        <f t="shared" si="44"/>
        <v>F</v>
      </c>
      <c r="CF61" s="214" t="str">
        <f t="shared" si="44"/>
        <v>F</v>
      </c>
      <c r="CG61" s="214" t="str">
        <f t="shared" si="44"/>
        <v>F</v>
      </c>
      <c r="CH61" s="214" t="str">
        <f t="shared" si="44"/>
        <v>F</v>
      </c>
      <c r="CI61" s="215" t="str">
        <f t="shared" si="44"/>
        <v>F</v>
      </c>
      <c r="CJ61" s="214" t="str">
        <f t="shared" si="44"/>
        <v>F</v>
      </c>
      <c r="CK61" s="214" t="str">
        <f t="shared" si="44"/>
        <v>F</v>
      </c>
      <c r="CL61" s="214" t="str">
        <f t="shared" si="44"/>
        <v>F</v>
      </c>
      <c r="CM61" s="214" t="str">
        <f t="shared" si="44"/>
        <v>F</v>
      </c>
      <c r="CN61" s="214" t="str">
        <f t="shared" si="44"/>
        <v>F</v>
      </c>
      <c r="CO61" s="214" t="str">
        <f t="shared" si="44"/>
        <v>F</v>
      </c>
      <c r="CP61" s="214" t="str">
        <f t="shared" si="44"/>
        <v>F</v>
      </c>
      <c r="CQ61" s="214" t="str">
        <f t="shared" si="44"/>
        <v>F</v>
      </c>
      <c r="CR61" s="214" t="str">
        <f t="shared" si="44"/>
        <v>F</v>
      </c>
      <c r="CS61" s="215" t="str">
        <f t="shared" si="44"/>
        <v>F</v>
      </c>
      <c r="CT61" s="214" t="str">
        <f t="shared" si="44"/>
        <v>F</v>
      </c>
      <c r="CU61" s="214" t="str">
        <f t="shared" si="44"/>
        <v>F</v>
      </c>
      <c r="CV61" s="214" t="str">
        <f t="shared" si="44"/>
        <v>F</v>
      </c>
      <c r="CW61" s="214" t="str">
        <f t="shared" si="44"/>
        <v>F</v>
      </c>
      <c r="CX61" s="214" t="str">
        <f t="shared" si="44"/>
        <v>F</v>
      </c>
      <c r="CY61" s="214" t="str">
        <f t="shared" si="44"/>
        <v>F</v>
      </c>
      <c r="CZ61" s="214" t="str">
        <f t="shared" si="44"/>
        <v>F</v>
      </c>
      <c r="DA61" s="214" t="str">
        <f t="shared" si="44"/>
        <v>F</v>
      </c>
      <c r="DB61" s="214" t="str">
        <f t="shared" si="44"/>
        <v>F</v>
      </c>
      <c r="DC61" s="216" t="str">
        <f t="shared" si="44"/>
        <v>F</v>
      </c>
    </row>
    <row r="62" spans="2:111" x14ac:dyDescent="0.2">
      <c r="B62" s="211"/>
      <c r="C62" s="611"/>
      <c r="D62" s="212"/>
      <c r="E62" s="253"/>
      <c r="F62" s="213"/>
      <c r="G62" s="226"/>
      <c r="H62" s="227"/>
      <c r="I62" s="227"/>
      <c r="J62" s="227"/>
      <c r="K62" s="227"/>
      <c r="L62" s="227"/>
      <c r="M62" s="227"/>
      <c r="N62" s="227"/>
      <c r="O62" s="227"/>
      <c r="P62" s="227"/>
      <c r="Q62" s="228"/>
      <c r="R62" s="227"/>
      <c r="S62" s="227"/>
      <c r="T62" s="227"/>
      <c r="U62" s="227"/>
      <c r="V62" s="227"/>
      <c r="W62" s="227"/>
      <c r="X62" s="227"/>
      <c r="Y62" s="227"/>
      <c r="Z62" s="227"/>
      <c r="AA62" s="228"/>
      <c r="AB62" s="227"/>
      <c r="AC62" s="227"/>
      <c r="AD62" s="227"/>
      <c r="AE62" s="227"/>
      <c r="AF62" s="227"/>
      <c r="AG62" s="227"/>
      <c r="AH62" s="227"/>
      <c r="AI62" s="227"/>
      <c r="AJ62" s="227"/>
      <c r="AK62" s="228"/>
      <c r="AL62" s="227"/>
      <c r="AM62" s="227"/>
      <c r="AN62" s="227"/>
      <c r="AO62" s="227"/>
      <c r="AP62" s="227"/>
      <c r="AQ62" s="227"/>
      <c r="AR62" s="227"/>
      <c r="AS62" s="227"/>
      <c r="AT62" s="227"/>
      <c r="AU62" s="228"/>
      <c r="AV62" s="227"/>
      <c r="AW62" s="227"/>
      <c r="AX62" s="227"/>
      <c r="AY62" s="227"/>
      <c r="AZ62" s="227"/>
      <c r="BA62" s="227"/>
      <c r="BB62" s="227"/>
      <c r="BC62" s="227"/>
      <c r="BD62" s="227"/>
      <c r="BE62" s="228"/>
      <c r="BF62" s="227"/>
      <c r="BG62" s="227"/>
      <c r="BH62" s="227"/>
      <c r="BI62" s="227"/>
      <c r="BJ62" s="227"/>
      <c r="BK62" s="227"/>
      <c r="BL62" s="227"/>
      <c r="BM62" s="227"/>
      <c r="BN62" s="227"/>
      <c r="BO62" s="228"/>
      <c r="BP62" s="227"/>
      <c r="BQ62" s="227"/>
      <c r="BR62" s="227"/>
      <c r="BS62" s="227"/>
      <c r="BT62" s="227"/>
      <c r="BU62" s="227"/>
      <c r="BV62" s="227"/>
      <c r="BW62" s="227"/>
      <c r="BX62" s="227"/>
      <c r="BY62" s="228"/>
      <c r="BZ62" s="227"/>
      <c r="CA62" s="227"/>
      <c r="CB62" s="227"/>
      <c r="CC62" s="227"/>
      <c r="CD62" s="227"/>
      <c r="CE62" s="227"/>
      <c r="CF62" s="227"/>
      <c r="CG62" s="227"/>
      <c r="CH62" s="227"/>
      <c r="CI62" s="228"/>
      <c r="CJ62" s="227"/>
      <c r="CK62" s="227"/>
      <c r="CL62" s="227"/>
      <c r="CM62" s="227"/>
      <c r="CN62" s="227"/>
      <c r="CO62" s="227"/>
      <c r="CP62" s="227"/>
      <c r="CQ62" s="227"/>
      <c r="CR62" s="227"/>
      <c r="CS62" s="228"/>
      <c r="CT62" s="227"/>
      <c r="CU62" s="227"/>
      <c r="CV62" s="227"/>
      <c r="CW62" s="227"/>
      <c r="CX62" s="227"/>
      <c r="CY62" s="227"/>
      <c r="CZ62" s="227"/>
      <c r="DA62" s="227"/>
      <c r="DB62" s="227"/>
      <c r="DC62" s="229"/>
    </row>
    <row r="63" spans="2:111" x14ac:dyDescent="0.2">
      <c r="B63" s="211"/>
      <c r="C63" s="611"/>
      <c r="D63" s="212" t="str">
        <f>'Technology Matrix'!B38</f>
        <v>Floating Constructed Wetlands</v>
      </c>
      <c r="E63" s="253">
        <f>'Technology Matrix'!S38</f>
        <v>8</v>
      </c>
      <c r="F63" s="213">
        <f>'Technology Matrix'!T38</f>
        <v>15</v>
      </c>
      <c r="G63" s="215" t="str">
        <f t="shared" si="42"/>
        <v>F</v>
      </c>
      <c r="H63" s="214" t="str">
        <f t="shared" si="42"/>
        <v>F</v>
      </c>
      <c r="I63" s="214" t="str">
        <f t="shared" si="42"/>
        <v>F</v>
      </c>
      <c r="J63" s="214" t="str">
        <f t="shared" si="42"/>
        <v>F</v>
      </c>
      <c r="K63" s="214" t="str">
        <f t="shared" si="42"/>
        <v>F</v>
      </c>
      <c r="L63" s="214" t="str">
        <f t="shared" si="42"/>
        <v>F</v>
      </c>
      <c r="M63" s="214" t="str">
        <f t="shared" si="42"/>
        <v>F</v>
      </c>
      <c r="N63" s="214" t="str">
        <f t="shared" si="42"/>
        <v>F</v>
      </c>
      <c r="O63" s="214" t="str">
        <f t="shared" si="42"/>
        <v>T</v>
      </c>
      <c r="P63" s="214" t="str">
        <f t="shared" si="42"/>
        <v>T</v>
      </c>
      <c r="Q63" s="215" t="str">
        <f t="shared" si="43"/>
        <v>T</v>
      </c>
      <c r="R63" s="214" t="str">
        <f t="shared" si="42"/>
        <v>T</v>
      </c>
      <c r="S63" s="214" t="str">
        <f t="shared" si="42"/>
        <v>T</v>
      </c>
      <c r="T63" s="214" t="str">
        <f t="shared" si="42"/>
        <v>T</v>
      </c>
      <c r="U63" s="214" t="str">
        <f t="shared" si="42"/>
        <v>T</v>
      </c>
      <c r="V63" s="214" t="str">
        <f t="shared" si="42"/>
        <v>T</v>
      </c>
      <c r="W63" s="214" t="str">
        <f t="shared" si="42"/>
        <v>F</v>
      </c>
      <c r="X63" s="214" t="str">
        <f t="shared" si="42"/>
        <v>F</v>
      </c>
      <c r="Y63" s="214" t="str">
        <f t="shared" si="42"/>
        <v>F</v>
      </c>
      <c r="Z63" s="214" t="str">
        <f t="shared" si="42"/>
        <v>F</v>
      </c>
      <c r="AA63" s="215" t="str">
        <f t="shared" si="42"/>
        <v>F</v>
      </c>
      <c r="AB63" s="214" t="str">
        <f t="shared" si="42"/>
        <v>F</v>
      </c>
      <c r="AC63" s="214" t="str">
        <f t="shared" si="42"/>
        <v>F</v>
      </c>
      <c r="AD63" s="214" t="str">
        <f t="shared" si="42"/>
        <v>F</v>
      </c>
      <c r="AE63" s="214" t="str">
        <f t="shared" si="42"/>
        <v>F</v>
      </c>
      <c r="AF63" s="214" t="str">
        <f t="shared" si="42"/>
        <v>F</v>
      </c>
      <c r="AG63" s="214" t="str">
        <f t="shared" si="42"/>
        <v>F</v>
      </c>
      <c r="AH63" s="214" t="str">
        <f t="shared" si="42"/>
        <v>F</v>
      </c>
      <c r="AI63" s="214" t="str">
        <f t="shared" si="42"/>
        <v>F</v>
      </c>
      <c r="AJ63" s="214" t="str">
        <f t="shared" si="42"/>
        <v>F</v>
      </c>
      <c r="AK63" s="215" t="str">
        <f t="shared" si="42"/>
        <v>F</v>
      </c>
      <c r="AL63" s="214" t="str">
        <f t="shared" si="42"/>
        <v>F</v>
      </c>
      <c r="AM63" s="214" t="str">
        <f t="shared" si="42"/>
        <v>F</v>
      </c>
      <c r="AN63" s="214" t="str">
        <f t="shared" si="42"/>
        <v>F</v>
      </c>
      <c r="AO63" s="214" t="str">
        <f t="shared" si="42"/>
        <v>F</v>
      </c>
      <c r="AP63" s="214" t="str">
        <f t="shared" si="42"/>
        <v>F</v>
      </c>
      <c r="AQ63" s="214" t="str">
        <f t="shared" si="42"/>
        <v>F</v>
      </c>
      <c r="AR63" s="214" t="str">
        <f t="shared" si="42"/>
        <v>F</v>
      </c>
      <c r="AS63" s="214" t="str">
        <f t="shared" si="42"/>
        <v>F</v>
      </c>
      <c r="AT63" s="214" t="str">
        <f t="shared" si="42"/>
        <v>F</v>
      </c>
      <c r="AU63" s="215" t="str">
        <f t="shared" si="42"/>
        <v>F</v>
      </c>
      <c r="AV63" s="214" t="str">
        <f t="shared" si="42"/>
        <v>F</v>
      </c>
      <c r="AW63" s="214" t="str">
        <f t="shared" si="42"/>
        <v>F</v>
      </c>
      <c r="AX63" s="214" t="str">
        <f t="shared" si="42"/>
        <v>F</v>
      </c>
      <c r="AY63" s="214" t="str">
        <f t="shared" si="42"/>
        <v>F</v>
      </c>
      <c r="AZ63" s="214" t="str">
        <f t="shared" si="42"/>
        <v>F</v>
      </c>
      <c r="BA63" s="214" t="str">
        <f t="shared" si="42"/>
        <v>F</v>
      </c>
      <c r="BB63" s="214" t="str">
        <f t="shared" si="42"/>
        <v>F</v>
      </c>
      <c r="BC63" s="214" t="str">
        <f t="shared" si="42"/>
        <v>F</v>
      </c>
      <c r="BD63" s="214" t="str">
        <f t="shared" si="42"/>
        <v>F</v>
      </c>
      <c r="BE63" s="215" t="str">
        <f t="shared" si="42"/>
        <v>F</v>
      </c>
      <c r="BF63" s="214" t="str">
        <f t="shared" si="42"/>
        <v>F</v>
      </c>
      <c r="BG63" s="214" t="str">
        <f t="shared" si="42"/>
        <v>F</v>
      </c>
      <c r="BH63" s="214" t="str">
        <f t="shared" si="42"/>
        <v>F</v>
      </c>
      <c r="BI63" s="214" t="str">
        <f t="shared" si="42"/>
        <v>F</v>
      </c>
      <c r="BJ63" s="214" t="str">
        <f t="shared" si="42"/>
        <v>F</v>
      </c>
      <c r="BK63" s="214" t="str">
        <f t="shared" si="42"/>
        <v>F</v>
      </c>
      <c r="BL63" s="214" t="str">
        <f t="shared" si="42"/>
        <v>F</v>
      </c>
      <c r="BM63" s="214" t="str">
        <f t="shared" si="42"/>
        <v>F</v>
      </c>
      <c r="BN63" s="214" t="str">
        <f t="shared" si="42"/>
        <v>F</v>
      </c>
      <c r="BO63" s="215" t="str">
        <f t="shared" si="42"/>
        <v>F</v>
      </c>
      <c r="BP63" s="214" t="str">
        <f t="shared" si="42"/>
        <v>F</v>
      </c>
      <c r="BQ63" s="214" t="str">
        <f t="shared" si="42"/>
        <v>F</v>
      </c>
      <c r="BR63" s="214" t="str">
        <f t="shared" si="42"/>
        <v>F</v>
      </c>
      <c r="BS63" s="214" t="str">
        <f t="shared" si="44"/>
        <v>F</v>
      </c>
      <c r="BT63" s="214" t="str">
        <f t="shared" si="44"/>
        <v>F</v>
      </c>
      <c r="BU63" s="214" t="str">
        <f t="shared" si="44"/>
        <v>F</v>
      </c>
      <c r="BV63" s="214" t="str">
        <f t="shared" si="44"/>
        <v>F</v>
      </c>
      <c r="BW63" s="214" t="str">
        <f t="shared" si="44"/>
        <v>F</v>
      </c>
      <c r="BX63" s="214" t="str">
        <f t="shared" si="44"/>
        <v>F</v>
      </c>
      <c r="BY63" s="215" t="str">
        <f t="shared" si="44"/>
        <v>F</v>
      </c>
      <c r="BZ63" s="214" t="str">
        <f t="shared" si="44"/>
        <v>F</v>
      </c>
      <c r="CA63" s="214" t="str">
        <f t="shared" si="44"/>
        <v>F</v>
      </c>
      <c r="CB63" s="214" t="str">
        <f t="shared" si="44"/>
        <v>F</v>
      </c>
      <c r="CC63" s="214" t="str">
        <f t="shared" si="44"/>
        <v>F</v>
      </c>
      <c r="CD63" s="214" t="str">
        <f t="shared" si="44"/>
        <v>F</v>
      </c>
      <c r="CE63" s="214" t="str">
        <f t="shared" si="44"/>
        <v>F</v>
      </c>
      <c r="CF63" s="214" t="str">
        <f t="shared" si="44"/>
        <v>F</v>
      </c>
      <c r="CG63" s="214" t="str">
        <f t="shared" si="44"/>
        <v>F</v>
      </c>
      <c r="CH63" s="214" t="str">
        <f t="shared" si="44"/>
        <v>F</v>
      </c>
      <c r="CI63" s="215" t="str">
        <f t="shared" si="44"/>
        <v>F</v>
      </c>
      <c r="CJ63" s="214" t="str">
        <f t="shared" si="44"/>
        <v>F</v>
      </c>
      <c r="CK63" s="214" t="str">
        <f t="shared" si="44"/>
        <v>F</v>
      </c>
      <c r="CL63" s="214" t="str">
        <f t="shared" si="44"/>
        <v>F</v>
      </c>
      <c r="CM63" s="214" t="str">
        <f t="shared" si="44"/>
        <v>F</v>
      </c>
      <c r="CN63" s="214" t="str">
        <f t="shared" si="44"/>
        <v>F</v>
      </c>
      <c r="CO63" s="214" t="str">
        <f t="shared" si="44"/>
        <v>F</v>
      </c>
      <c r="CP63" s="214" t="str">
        <f t="shared" si="44"/>
        <v>F</v>
      </c>
      <c r="CQ63" s="214" t="str">
        <f t="shared" si="44"/>
        <v>F</v>
      </c>
      <c r="CR63" s="214" t="str">
        <f t="shared" si="44"/>
        <v>F</v>
      </c>
      <c r="CS63" s="215" t="str">
        <f t="shared" si="44"/>
        <v>F</v>
      </c>
      <c r="CT63" s="214" t="str">
        <f t="shared" si="44"/>
        <v>F</v>
      </c>
      <c r="CU63" s="214" t="str">
        <f t="shared" si="44"/>
        <v>F</v>
      </c>
      <c r="CV63" s="214" t="str">
        <f t="shared" si="44"/>
        <v>F</v>
      </c>
      <c r="CW63" s="214" t="str">
        <f t="shared" si="44"/>
        <v>F</v>
      </c>
      <c r="CX63" s="214" t="str">
        <f t="shared" si="44"/>
        <v>F</v>
      </c>
      <c r="CY63" s="214" t="str">
        <f t="shared" si="44"/>
        <v>F</v>
      </c>
      <c r="CZ63" s="214" t="str">
        <f t="shared" si="44"/>
        <v>F</v>
      </c>
      <c r="DA63" s="214" t="str">
        <f t="shared" si="44"/>
        <v>F</v>
      </c>
      <c r="DB63" s="214" t="str">
        <f t="shared" si="44"/>
        <v>F</v>
      </c>
      <c r="DC63" s="216" t="str">
        <f t="shared" si="44"/>
        <v>F</v>
      </c>
    </row>
    <row r="64" spans="2:111" x14ac:dyDescent="0.2">
      <c r="B64" s="211"/>
      <c r="C64" s="611"/>
      <c r="D64" s="212"/>
      <c r="E64" s="253"/>
      <c r="F64" s="213"/>
      <c r="G64" s="226"/>
      <c r="H64" s="227"/>
      <c r="I64" s="227"/>
      <c r="J64" s="227"/>
      <c r="K64" s="227"/>
      <c r="L64" s="227"/>
      <c r="M64" s="227"/>
      <c r="N64" s="227"/>
      <c r="O64" s="227"/>
      <c r="P64" s="227"/>
      <c r="Q64" s="228"/>
      <c r="R64" s="227"/>
      <c r="S64" s="227"/>
      <c r="T64" s="227"/>
      <c r="U64" s="227"/>
      <c r="V64" s="227"/>
      <c r="W64" s="227"/>
      <c r="X64" s="227"/>
      <c r="Y64" s="227"/>
      <c r="Z64" s="227"/>
      <c r="AA64" s="228"/>
      <c r="AB64" s="227"/>
      <c r="AC64" s="227"/>
      <c r="AD64" s="227"/>
      <c r="AE64" s="227"/>
      <c r="AF64" s="227"/>
      <c r="AG64" s="227"/>
      <c r="AH64" s="227"/>
      <c r="AI64" s="227"/>
      <c r="AJ64" s="227"/>
      <c r="AK64" s="228"/>
      <c r="AL64" s="227"/>
      <c r="AM64" s="227"/>
      <c r="AN64" s="227"/>
      <c r="AO64" s="227"/>
      <c r="AP64" s="227"/>
      <c r="AQ64" s="227"/>
      <c r="AR64" s="227"/>
      <c r="AS64" s="227"/>
      <c r="AT64" s="227"/>
      <c r="AU64" s="228"/>
      <c r="AV64" s="227"/>
      <c r="AW64" s="227"/>
      <c r="AX64" s="227"/>
      <c r="AY64" s="227"/>
      <c r="AZ64" s="227"/>
      <c r="BA64" s="227"/>
      <c r="BB64" s="227"/>
      <c r="BC64" s="227"/>
      <c r="BD64" s="227"/>
      <c r="BE64" s="228"/>
      <c r="BF64" s="227"/>
      <c r="BG64" s="227"/>
      <c r="BH64" s="227"/>
      <c r="BI64" s="227"/>
      <c r="BJ64" s="227"/>
      <c r="BK64" s="227"/>
      <c r="BL64" s="227"/>
      <c r="BM64" s="227"/>
      <c r="BN64" s="227"/>
      <c r="BO64" s="228"/>
      <c r="BP64" s="227"/>
      <c r="BQ64" s="227"/>
      <c r="BR64" s="227"/>
      <c r="BS64" s="227"/>
      <c r="BT64" s="227"/>
      <c r="BU64" s="227"/>
      <c r="BV64" s="227"/>
      <c r="BW64" s="227"/>
      <c r="BX64" s="227"/>
      <c r="BY64" s="228"/>
      <c r="BZ64" s="227"/>
      <c r="CA64" s="227"/>
      <c r="CB64" s="227"/>
      <c r="CC64" s="227"/>
      <c r="CD64" s="227"/>
      <c r="CE64" s="227"/>
      <c r="CF64" s="227"/>
      <c r="CG64" s="227"/>
      <c r="CH64" s="227"/>
      <c r="CI64" s="228"/>
      <c r="CJ64" s="227"/>
      <c r="CK64" s="227"/>
      <c r="CL64" s="227"/>
      <c r="CM64" s="227"/>
      <c r="CN64" s="227"/>
      <c r="CO64" s="227"/>
      <c r="CP64" s="227"/>
      <c r="CQ64" s="227"/>
      <c r="CR64" s="227"/>
      <c r="CS64" s="228"/>
      <c r="CT64" s="227"/>
      <c r="CU64" s="227"/>
      <c r="CV64" s="227"/>
      <c r="CW64" s="227"/>
      <c r="CX64" s="227"/>
      <c r="CY64" s="227"/>
      <c r="CZ64" s="227"/>
      <c r="DA64" s="227"/>
      <c r="DB64" s="227"/>
      <c r="DC64" s="229"/>
    </row>
    <row r="65" spans="2:111" x14ac:dyDescent="0.2">
      <c r="B65" s="211"/>
      <c r="C65" s="611"/>
      <c r="D65" s="212" t="str">
        <f>'Technology Matrix'!B39</f>
        <v>Pond and Estuary Circulators</v>
      </c>
      <c r="E65" s="253">
        <f>'Technology Matrix'!S39</f>
        <v>0</v>
      </c>
      <c r="F65" s="213">
        <f>'Technology Matrix'!T39</f>
        <v>0</v>
      </c>
      <c r="G65" s="215" t="str">
        <f t="shared" si="42"/>
        <v>T</v>
      </c>
      <c r="H65" s="214" t="str">
        <f t="shared" si="42"/>
        <v>F</v>
      </c>
      <c r="I65" s="214" t="str">
        <f t="shared" si="42"/>
        <v>F</v>
      </c>
      <c r="J65" s="214" t="str">
        <f t="shared" si="42"/>
        <v>F</v>
      </c>
      <c r="K65" s="214" t="str">
        <f t="shared" si="42"/>
        <v>F</v>
      </c>
      <c r="L65" s="214" t="str">
        <f t="shared" si="42"/>
        <v>F</v>
      </c>
      <c r="M65" s="214" t="str">
        <f t="shared" si="42"/>
        <v>F</v>
      </c>
      <c r="N65" s="214" t="str">
        <f t="shared" si="42"/>
        <v>F</v>
      </c>
      <c r="O65" s="214" t="str">
        <f t="shared" si="42"/>
        <v>F</v>
      </c>
      <c r="P65" s="214" t="str">
        <f t="shared" si="42"/>
        <v>F</v>
      </c>
      <c r="Q65" s="215" t="str">
        <f t="shared" si="43"/>
        <v>F</v>
      </c>
      <c r="R65" s="214" t="str">
        <f t="shared" si="42"/>
        <v>F</v>
      </c>
      <c r="S65" s="214" t="str">
        <f t="shared" si="42"/>
        <v>F</v>
      </c>
      <c r="T65" s="214" t="str">
        <f t="shared" si="42"/>
        <v>F</v>
      </c>
      <c r="U65" s="214" t="str">
        <f t="shared" si="42"/>
        <v>F</v>
      </c>
      <c r="V65" s="214" t="str">
        <f t="shared" si="42"/>
        <v>F</v>
      </c>
      <c r="W65" s="214" t="str">
        <f t="shared" si="42"/>
        <v>F</v>
      </c>
      <c r="X65" s="214" t="str">
        <f t="shared" si="42"/>
        <v>F</v>
      </c>
      <c r="Y65" s="214" t="str">
        <f t="shared" si="42"/>
        <v>F</v>
      </c>
      <c r="Z65" s="214" t="str">
        <f t="shared" si="42"/>
        <v>F</v>
      </c>
      <c r="AA65" s="215" t="str">
        <f t="shared" si="42"/>
        <v>F</v>
      </c>
      <c r="AB65" s="214" t="str">
        <f t="shared" si="42"/>
        <v>F</v>
      </c>
      <c r="AC65" s="214" t="str">
        <f t="shared" si="42"/>
        <v>F</v>
      </c>
      <c r="AD65" s="214" t="str">
        <f t="shared" si="42"/>
        <v>F</v>
      </c>
      <c r="AE65" s="214" t="str">
        <f t="shared" si="42"/>
        <v>F</v>
      </c>
      <c r="AF65" s="214" t="str">
        <f t="shared" si="42"/>
        <v>F</v>
      </c>
      <c r="AG65" s="214" t="str">
        <f t="shared" si="42"/>
        <v>F</v>
      </c>
      <c r="AH65" s="214" t="str">
        <f t="shared" si="42"/>
        <v>F</v>
      </c>
      <c r="AI65" s="214" t="str">
        <f t="shared" si="42"/>
        <v>F</v>
      </c>
      <c r="AJ65" s="214" t="str">
        <f t="shared" si="42"/>
        <v>F</v>
      </c>
      <c r="AK65" s="215" t="str">
        <f t="shared" si="42"/>
        <v>F</v>
      </c>
      <c r="AL65" s="214" t="str">
        <f t="shared" si="42"/>
        <v>F</v>
      </c>
      <c r="AM65" s="214" t="str">
        <f t="shared" si="42"/>
        <v>F</v>
      </c>
      <c r="AN65" s="214" t="str">
        <f t="shared" si="42"/>
        <v>F</v>
      </c>
      <c r="AO65" s="214" t="str">
        <f t="shared" si="42"/>
        <v>F</v>
      </c>
      <c r="AP65" s="214" t="str">
        <f t="shared" si="42"/>
        <v>F</v>
      </c>
      <c r="AQ65" s="214" t="str">
        <f t="shared" si="42"/>
        <v>F</v>
      </c>
      <c r="AR65" s="214" t="str">
        <f t="shared" si="42"/>
        <v>F</v>
      </c>
      <c r="AS65" s="214" t="str">
        <f t="shared" si="42"/>
        <v>F</v>
      </c>
      <c r="AT65" s="214" t="str">
        <f t="shared" si="42"/>
        <v>F</v>
      </c>
      <c r="AU65" s="215" t="str">
        <f t="shared" si="42"/>
        <v>F</v>
      </c>
      <c r="AV65" s="214" t="str">
        <f t="shared" si="42"/>
        <v>F</v>
      </c>
      <c r="AW65" s="214" t="str">
        <f t="shared" si="42"/>
        <v>F</v>
      </c>
      <c r="AX65" s="214" t="str">
        <f t="shared" si="42"/>
        <v>F</v>
      </c>
      <c r="AY65" s="214" t="str">
        <f t="shared" si="42"/>
        <v>F</v>
      </c>
      <c r="AZ65" s="214" t="str">
        <f t="shared" si="42"/>
        <v>F</v>
      </c>
      <c r="BA65" s="214" t="str">
        <f t="shared" si="42"/>
        <v>F</v>
      </c>
      <c r="BB65" s="214" t="str">
        <f t="shared" si="42"/>
        <v>F</v>
      </c>
      <c r="BC65" s="214" t="str">
        <f t="shared" si="42"/>
        <v>F</v>
      </c>
      <c r="BD65" s="214" t="str">
        <f t="shared" si="42"/>
        <v>F</v>
      </c>
      <c r="BE65" s="215" t="str">
        <f t="shared" si="42"/>
        <v>F</v>
      </c>
      <c r="BF65" s="214" t="str">
        <f t="shared" si="42"/>
        <v>F</v>
      </c>
      <c r="BG65" s="214" t="str">
        <f t="shared" si="42"/>
        <v>F</v>
      </c>
      <c r="BH65" s="214" t="str">
        <f t="shared" si="42"/>
        <v>F</v>
      </c>
      <c r="BI65" s="214" t="str">
        <f t="shared" si="42"/>
        <v>F</v>
      </c>
      <c r="BJ65" s="214" t="str">
        <f t="shared" si="42"/>
        <v>F</v>
      </c>
      <c r="BK65" s="214" t="str">
        <f t="shared" si="42"/>
        <v>F</v>
      </c>
      <c r="BL65" s="214" t="str">
        <f t="shared" si="42"/>
        <v>F</v>
      </c>
      <c r="BM65" s="214" t="str">
        <f t="shared" si="42"/>
        <v>F</v>
      </c>
      <c r="BN65" s="214" t="str">
        <f t="shared" si="42"/>
        <v>F</v>
      </c>
      <c r="BO65" s="215" t="str">
        <f t="shared" si="42"/>
        <v>F</v>
      </c>
      <c r="BP65" s="214" t="str">
        <f t="shared" si="42"/>
        <v>F</v>
      </c>
      <c r="BQ65" s="214" t="str">
        <f t="shared" si="42"/>
        <v>F</v>
      </c>
      <c r="BR65" s="214" t="str">
        <f t="shared" ref="BR65" si="45">IF(AND(BR$3&gt;=$E65,BR$3&lt;=$F65),"T","F")</f>
        <v>F</v>
      </c>
      <c r="BS65" s="214" t="str">
        <f t="shared" si="44"/>
        <v>F</v>
      </c>
      <c r="BT65" s="214" t="str">
        <f t="shared" si="44"/>
        <v>F</v>
      </c>
      <c r="BU65" s="214" t="str">
        <f t="shared" si="44"/>
        <v>F</v>
      </c>
      <c r="BV65" s="214" t="str">
        <f t="shared" si="44"/>
        <v>F</v>
      </c>
      <c r="BW65" s="214" t="str">
        <f t="shared" si="44"/>
        <v>F</v>
      </c>
      <c r="BX65" s="214" t="str">
        <f t="shared" si="44"/>
        <v>F</v>
      </c>
      <c r="BY65" s="215" t="str">
        <f t="shared" si="44"/>
        <v>F</v>
      </c>
      <c r="BZ65" s="214" t="str">
        <f t="shared" si="44"/>
        <v>F</v>
      </c>
      <c r="CA65" s="214" t="str">
        <f t="shared" si="44"/>
        <v>F</v>
      </c>
      <c r="CB65" s="214" t="str">
        <f t="shared" si="44"/>
        <v>F</v>
      </c>
      <c r="CC65" s="214" t="str">
        <f t="shared" si="44"/>
        <v>F</v>
      </c>
      <c r="CD65" s="214" t="str">
        <f t="shared" si="44"/>
        <v>F</v>
      </c>
      <c r="CE65" s="214" t="str">
        <f t="shared" si="44"/>
        <v>F</v>
      </c>
      <c r="CF65" s="214" t="str">
        <f t="shared" si="44"/>
        <v>F</v>
      </c>
      <c r="CG65" s="214" t="str">
        <f t="shared" si="44"/>
        <v>F</v>
      </c>
      <c r="CH65" s="214" t="str">
        <f t="shared" si="44"/>
        <v>F</v>
      </c>
      <c r="CI65" s="215" t="str">
        <f t="shared" si="44"/>
        <v>F</v>
      </c>
      <c r="CJ65" s="214" t="str">
        <f t="shared" si="44"/>
        <v>F</v>
      </c>
      <c r="CK65" s="214" t="str">
        <f t="shared" si="44"/>
        <v>F</v>
      </c>
      <c r="CL65" s="214" t="str">
        <f t="shared" si="44"/>
        <v>F</v>
      </c>
      <c r="CM65" s="214" t="str">
        <f t="shared" si="44"/>
        <v>F</v>
      </c>
      <c r="CN65" s="214" t="str">
        <f t="shared" si="44"/>
        <v>F</v>
      </c>
      <c r="CO65" s="214" t="str">
        <f t="shared" si="44"/>
        <v>F</v>
      </c>
      <c r="CP65" s="214" t="str">
        <f t="shared" si="44"/>
        <v>F</v>
      </c>
      <c r="CQ65" s="214" t="str">
        <f t="shared" si="44"/>
        <v>F</v>
      </c>
      <c r="CR65" s="214" t="str">
        <f t="shared" si="44"/>
        <v>F</v>
      </c>
      <c r="CS65" s="215" t="str">
        <f t="shared" si="44"/>
        <v>F</v>
      </c>
      <c r="CT65" s="214" t="str">
        <f t="shared" si="44"/>
        <v>F</v>
      </c>
      <c r="CU65" s="214" t="str">
        <f t="shared" si="44"/>
        <v>F</v>
      </c>
      <c r="CV65" s="214" t="str">
        <f t="shared" si="44"/>
        <v>F</v>
      </c>
      <c r="CW65" s="214" t="str">
        <f t="shared" si="44"/>
        <v>F</v>
      </c>
      <c r="CX65" s="214" t="str">
        <f t="shared" si="44"/>
        <v>F</v>
      </c>
      <c r="CY65" s="214" t="str">
        <f t="shared" si="44"/>
        <v>F</v>
      </c>
      <c r="CZ65" s="214" t="str">
        <f t="shared" si="44"/>
        <v>F</v>
      </c>
      <c r="DA65" s="214" t="str">
        <f t="shared" si="44"/>
        <v>F</v>
      </c>
      <c r="DB65" s="214" t="str">
        <f t="shared" si="44"/>
        <v>F</v>
      </c>
      <c r="DC65" s="216" t="str">
        <f t="shared" si="44"/>
        <v>F</v>
      </c>
    </row>
    <row r="66" spans="2:111" x14ac:dyDescent="0.2">
      <c r="B66" s="211"/>
      <c r="C66" s="611"/>
      <c r="D66" s="212"/>
      <c r="E66" s="253"/>
      <c r="F66" s="213"/>
      <c r="G66" s="226"/>
      <c r="H66" s="227"/>
      <c r="I66" s="227"/>
      <c r="J66" s="227"/>
      <c r="K66" s="227"/>
      <c r="L66" s="227"/>
      <c r="M66" s="227"/>
      <c r="N66" s="227"/>
      <c r="O66" s="227"/>
      <c r="P66" s="227"/>
      <c r="Q66" s="228"/>
      <c r="R66" s="227"/>
      <c r="S66" s="227"/>
      <c r="T66" s="227"/>
      <c r="U66" s="227"/>
      <c r="V66" s="227"/>
      <c r="W66" s="227"/>
      <c r="X66" s="227"/>
      <c r="Y66" s="227"/>
      <c r="Z66" s="227"/>
      <c r="AA66" s="228"/>
      <c r="AB66" s="227"/>
      <c r="AC66" s="227"/>
      <c r="AD66" s="227"/>
      <c r="AE66" s="227"/>
      <c r="AF66" s="227"/>
      <c r="AG66" s="227"/>
      <c r="AH66" s="227"/>
      <c r="AI66" s="227"/>
      <c r="AJ66" s="227"/>
      <c r="AK66" s="228"/>
      <c r="AL66" s="227"/>
      <c r="AM66" s="227"/>
      <c r="AN66" s="227"/>
      <c r="AO66" s="227"/>
      <c r="AP66" s="227"/>
      <c r="AQ66" s="227"/>
      <c r="AR66" s="227"/>
      <c r="AS66" s="227"/>
      <c r="AT66" s="227"/>
      <c r="AU66" s="228"/>
      <c r="AV66" s="227"/>
      <c r="AW66" s="227"/>
      <c r="AX66" s="227"/>
      <c r="AY66" s="227"/>
      <c r="AZ66" s="227"/>
      <c r="BA66" s="227"/>
      <c r="BB66" s="227"/>
      <c r="BC66" s="227"/>
      <c r="BD66" s="227"/>
      <c r="BE66" s="228"/>
      <c r="BF66" s="227"/>
      <c r="BG66" s="227"/>
      <c r="BH66" s="227"/>
      <c r="BI66" s="227"/>
      <c r="BJ66" s="227"/>
      <c r="BK66" s="227"/>
      <c r="BL66" s="227"/>
      <c r="BM66" s="227"/>
      <c r="BN66" s="227"/>
      <c r="BO66" s="228"/>
      <c r="BP66" s="227"/>
      <c r="BQ66" s="227"/>
      <c r="BR66" s="227"/>
      <c r="BS66" s="227"/>
      <c r="BT66" s="227"/>
      <c r="BU66" s="227"/>
      <c r="BV66" s="227"/>
      <c r="BW66" s="227"/>
      <c r="BX66" s="227"/>
      <c r="BY66" s="228"/>
      <c r="BZ66" s="227"/>
      <c r="CA66" s="227"/>
      <c r="CB66" s="227"/>
      <c r="CC66" s="227"/>
      <c r="CD66" s="227"/>
      <c r="CE66" s="227"/>
      <c r="CF66" s="227"/>
      <c r="CG66" s="227"/>
      <c r="CH66" s="227"/>
      <c r="CI66" s="228"/>
      <c r="CJ66" s="227"/>
      <c r="CK66" s="227"/>
      <c r="CL66" s="227"/>
      <c r="CM66" s="227"/>
      <c r="CN66" s="227"/>
      <c r="CO66" s="227"/>
      <c r="CP66" s="227"/>
      <c r="CQ66" s="227"/>
      <c r="CR66" s="227"/>
      <c r="CS66" s="228"/>
      <c r="CT66" s="227"/>
      <c r="CU66" s="227"/>
      <c r="CV66" s="227"/>
      <c r="CW66" s="227"/>
      <c r="CX66" s="227"/>
      <c r="CY66" s="227"/>
      <c r="CZ66" s="227"/>
      <c r="DA66" s="227"/>
      <c r="DB66" s="227"/>
      <c r="DC66" s="229"/>
    </row>
    <row r="67" spans="2:111" x14ac:dyDescent="0.2">
      <c r="B67" s="211"/>
      <c r="C67" s="611"/>
      <c r="D67" s="212" t="str">
        <f>'Technology Matrix'!B40</f>
        <v>Surface Water Remediation Wetlands</v>
      </c>
      <c r="E67" s="253">
        <f>'Technology Matrix'!S40</f>
        <v>70</v>
      </c>
      <c r="F67" s="213">
        <f>'Technology Matrix'!T40</f>
        <v>95</v>
      </c>
      <c r="G67" s="215" t="str">
        <f t="shared" ref="G67:BR67" si="46">IF(AND(G$3&gt;=$E67,G$3&lt;=$F67),"T","F")</f>
        <v>F</v>
      </c>
      <c r="H67" s="214" t="str">
        <f t="shared" si="46"/>
        <v>F</v>
      </c>
      <c r="I67" s="214" t="str">
        <f t="shared" si="46"/>
        <v>F</v>
      </c>
      <c r="J67" s="214" t="str">
        <f t="shared" si="46"/>
        <v>F</v>
      </c>
      <c r="K67" s="214" t="str">
        <f t="shared" si="46"/>
        <v>F</v>
      </c>
      <c r="L67" s="214" t="str">
        <f t="shared" si="46"/>
        <v>F</v>
      </c>
      <c r="M67" s="214" t="str">
        <f t="shared" si="46"/>
        <v>F</v>
      </c>
      <c r="N67" s="214" t="str">
        <f t="shared" si="46"/>
        <v>F</v>
      </c>
      <c r="O67" s="214" t="str">
        <f t="shared" si="46"/>
        <v>F</v>
      </c>
      <c r="P67" s="214" t="str">
        <f t="shared" si="46"/>
        <v>F</v>
      </c>
      <c r="Q67" s="215" t="str">
        <f t="shared" si="46"/>
        <v>F</v>
      </c>
      <c r="R67" s="214" t="str">
        <f t="shared" si="46"/>
        <v>F</v>
      </c>
      <c r="S67" s="214" t="str">
        <f t="shared" si="46"/>
        <v>F</v>
      </c>
      <c r="T67" s="214" t="str">
        <f t="shared" si="46"/>
        <v>F</v>
      </c>
      <c r="U67" s="214" t="str">
        <f t="shared" si="46"/>
        <v>F</v>
      </c>
      <c r="V67" s="214" t="str">
        <f t="shared" si="46"/>
        <v>F</v>
      </c>
      <c r="W67" s="214" t="str">
        <f t="shared" si="46"/>
        <v>F</v>
      </c>
      <c r="X67" s="214" t="str">
        <f t="shared" si="46"/>
        <v>F</v>
      </c>
      <c r="Y67" s="214" t="str">
        <f t="shared" si="46"/>
        <v>F</v>
      </c>
      <c r="Z67" s="214" t="str">
        <f t="shared" si="46"/>
        <v>F</v>
      </c>
      <c r="AA67" s="215" t="str">
        <f t="shared" si="46"/>
        <v>F</v>
      </c>
      <c r="AB67" s="214" t="str">
        <f t="shared" si="46"/>
        <v>F</v>
      </c>
      <c r="AC67" s="214" t="str">
        <f t="shared" si="46"/>
        <v>F</v>
      </c>
      <c r="AD67" s="214" t="str">
        <f t="shared" si="46"/>
        <v>F</v>
      </c>
      <c r="AE67" s="214" t="str">
        <f t="shared" si="46"/>
        <v>F</v>
      </c>
      <c r="AF67" s="214" t="str">
        <f t="shared" si="46"/>
        <v>F</v>
      </c>
      <c r="AG67" s="214" t="str">
        <f t="shared" si="46"/>
        <v>F</v>
      </c>
      <c r="AH67" s="214" t="str">
        <f t="shared" si="46"/>
        <v>F</v>
      </c>
      <c r="AI67" s="214" t="str">
        <f t="shared" si="46"/>
        <v>F</v>
      </c>
      <c r="AJ67" s="214" t="str">
        <f t="shared" si="46"/>
        <v>F</v>
      </c>
      <c r="AK67" s="215" t="str">
        <f t="shared" si="46"/>
        <v>F</v>
      </c>
      <c r="AL67" s="214" t="str">
        <f t="shared" si="46"/>
        <v>F</v>
      </c>
      <c r="AM67" s="214" t="str">
        <f t="shared" si="46"/>
        <v>F</v>
      </c>
      <c r="AN67" s="214" t="str">
        <f t="shared" si="46"/>
        <v>F</v>
      </c>
      <c r="AO67" s="214" t="str">
        <f t="shared" si="46"/>
        <v>F</v>
      </c>
      <c r="AP67" s="214" t="str">
        <f t="shared" si="46"/>
        <v>F</v>
      </c>
      <c r="AQ67" s="214" t="str">
        <f t="shared" si="46"/>
        <v>F</v>
      </c>
      <c r="AR67" s="214" t="str">
        <f t="shared" si="46"/>
        <v>F</v>
      </c>
      <c r="AS67" s="214" t="str">
        <f t="shared" si="46"/>
        <v>F</v>
      </c>
      <c r="AT67" s="214" t="str">
        <f t="shared" si="46"/>
        <v>F</v>
      </c>
      <c r="AU67" s="215" t="str">
        <f t="shared" si="46"/>
        <v>F</v>
      </c>
      <c r="AV67" s="214" t="str">
        <f t="shared" si="46"/>
        <v>F</v>
      </c>
      <c r="AW67" s="214" t="str">
        <f t="shared" si="46"/>
        <v>F</v>
      </c>
      <c r="AX67" s="214" t="str">
        <f t="shared" si="46"/>
        <v>F</v>
      </c>
      <c r="AY67" s="214" t="str">
        <f t="shared" si="46"/>
        <v>F</v>
      </c>
      <c r="AZ67" s="214" t="str">
        <f t="shared" si="46"/>
        <v>F</v>
      </c>
      <c r="BA67" s="214" t="str">
        <f t="shared" si="46"/>
        <v>F</v>
      </c>
      <c r="BB67" s="214" t="str">
        <f t="shared" si="46"/>
        <v>F</v>
      </c>
      <c r="BC67" s="214" t="str">
        <f t="shared" si="46"/>
        <v>F</v>
      </c>
      <c r="BD67" s="214" t="str">
        <f t="shared" si="46"/>
        <v>F</v>
      </c>
      <c r="BE67" s="215" t="str">
        <f t="shared" si="46"/>
        <v>F</v>
      </c>
      <c r="BF67" s="214" t="str">
        <f t="shared" si="46"/>
        <v>F</v>
      </c>
      <c r="BG67" s="214" t="str">
        <f t="shared" si="46"/>
        <v>F</v>
      </c>
      <c r="BH67" s="214" t="str">
        <f t="shared" si="46"/>
        <v>F</v>
      </c>
      <c r="BI67" s="214" t="str">
        <f t="shared" si="46"/>
        <v>F</v>
      </c>
      <c r="BJ67" s="214" t="str">
        <f t="shared" si="46"/>
        <v>F</v>
      </c>
      <c r="BK67" s="214" t="str">
        <f t="shared" si="46"/>
        <v>F</v>
      </c>
      <c r="BL67" s="214" t="str">
        <f t="shared" si="46"/>
        <v>F</v>
      </c>
      <c r="BM67" s="214" t="str">
        <f t="shared" si="46"/>
        <v>F</v>
      </c>
      <c r="BN67" s="214" t="str">
        <f t="shared" si="46"/>
        <v>F</v>
      </c>
      <c r="BO67" s="215" t="str">
        <f t="shared" si="46"/>
        <v>F</v>
      </c>
      <c r="BP67" s="214" t="str">
        <f t="shared" si="46"/>
        <v>F</v>
      </c>
      <c r="BQ67" s="214" t="str">
        <f t="shared" si="46"/>
        <v>F</v>
      </c>
      <c r="BR67" s="214" t="str">
        <f t="shared" si="46"/>
        <v>F</v>
      </c>
      <c r="BS67" s="214" t="str">
        <f t="shared" si="44"/>
        <v>F</v>
      </c>
      <c r="BT67" s="214" t="str">
        <f t="shared" si="44"/>
        <v>F</v>
      </c>
      <c r="BU67" s="214" t="str">
        <f t="shared" si="44"/>
        <v>F</v>
      </c>
      <c r="BV67" s="214" t="str">
        <f t="shared" si="44"/>
        <v>F</v>
      </c>
      <c r="BW67" s="214" t="str">
        <f t="shared" si="44"/>
        <v>F</v>
      </c>
      <c r="BX67" s="214" t="str">
        <f t="shared" si="44"/>
        <v>F</v>
      </c>
      <c r="BY67" s="215" t="str">
        <f t="shared" si="44"/>
        <v>T</v>
      </c>
      <c r="BZ67" s="214" t="str">
        <f t="shared" si="44"/>
        <v>T</v>
      </c>
      <c r="CA67" s="214" t="str">
        <f t="shared" si="44"/>
        <v>T</v>
      </c>
      <c r="CB67" s="214" t="str">
        <f t="shared" si="44"/>
        <v>T</v>
      </c>
      <c r="CC67" s="214" t="str">
        <f t="shared" si="44"/>
        <v>T</v>
      </c>
      <c r="CD67" s="214" t="str">
        <f t="shared" si="44"/>
        <v>T</v>
      </c>
      <c r="CE67" s="214" t="str">
        <f t="shared" si="44"/>
        <v>T</v>
      </c>
      <c r="CF67" s="214" t="str">
        <f t="shared" si="44"/>
        <v>T</v>
      </c>
      <c r="CG67" s="214" t="str">
        <f t="shared" si="44"/>
        <v>T</v>
      </c>
      <c r="CH67" s="214" t="str">
        <f t="shared" si="44"/>
        <v>T</v>
      </c>
      <c r="CI67" s="215" t="str">
        <f t="shared" si="44"/>
        <v>T</v>
      </c>
      <c r="CJ67" s="214" t="str">
        <f t="shared" si="44"/>
        <v>T</v>
      </c>
      <c r="CK67" s="214" t="str">
        <f t="shared" si="44"/>
        <v>T</v>
      </c>
      <c r="CL67" s="214" t="str">
        <f t="shared" si="44"/>
        <v>T</v>
      </c>
      <c r="CM67" s="214" t="str">
        <f t="shared" si="44"/>
        <v>T</v>
      </c>
      <c r="CN67" s="214" t="str">
        <f t="shared" si="44"/>
        <v>T</v>
      </c>
      <c r="CO67" s="214" t="str">
        <f t="shared" si="44"/>
        <v>T</v>
      </c>
      <c r="CP67" s="214" t="str">
        <f t="shared" si="44"/>
        <v>T</v>
      </c>
      <c r="CQ67" s="214" t="str">
        <f t="shared" si="44"/>
        <v>T</v>
      </c>
      <c r="CR67" s="214" t="str">
        <f t="shared" si="44"/>
        <v>T</v>
      </c>
      <c r="CS67" s="215" t="str">
        <f t="shared" si="44"/>
        <v>T</v>
      </c>
      <c r="CT67" s="214" t="str">
        <f t="shared" si="44"/>
        <v>T</v>
      </c>
      <c r="CU67" s="214" t="str">
        <f t="shared" si="44"/>
        <v>T</v>
      </c>
      <c r="CV67" s="214" t="str">
        <f t="shared" si="44"/>
        <v>T</v>
      </c>
      <c r="CW67" s="214" t="str">
        <f t="shared" si="44"/>
        <v>T</v>
      </c>
      <c r="CX67" s="214" t="str">
        <f t="shared" si="44"/>
        <v>T</v>
      </c>
      <c r="CY67" s="214" t="str">
        <f t="shared" si="44"/>
        <v>F</v>
      </c>
      <c r="CZ67" s="214" t="str">
        <f t="shared" si="44"/>
        <v>F</v>
      </c>
      <c r="DA67" s="214" t="str">
        <f t="shared" si="44"/>
        <v>F</v>
      </c>
      <c r="DB67" s="214" t="str">
        <f t="shared" si="44"/>
        <v>F</v>
      </c>
      <c r="DC67" s="216" t="str">
        <f t="shared" si="44"/>
        <v>F</v>
      </c>
    </row>
    <row r="68" spans="2:111" x14ac:dyDescent="0.2">
      <c r="B68" s="211"/>
      <c r="C68" s="611"/>
      <c r="D68" s="212"/>
      <c r="E68" s="253"/>
      <c r="F68" s="213"/>
      <c r="G68" s="226"/>
      <c r="H68" s="227"/>
      <c r="I68" s="227"/>
      <c r="J68" s="227"/>
      <c r="K68" s="227"/>
      <c r="L68" s="227"/>
      <c r="M68" s="227"/>
      <c r="N68" s="227"/>
      <c r="O68" s="227"/>
      <c r="P68" s="227"/>
      <c r="Q68" s="228"/>
      <c r="R68" s="227"/>
      <c r="S68" s="227"/>
      <c r="T68" s="227"/>
      <c r="U68" s="227"/>
      <c r="V68" s="227"/>
      <c r="W68" s="227"/>
      <c r="X68" s="227"/>
      <c r="Y68" s="227"/>
      <c r="Z68" s="227"/>
      <c r="AA68" s="228"/>
      <c r="AB68" s="227"/>
      <c r="AC68" s="227"/>
      <c r="AD68" s="227"/>
      <c r="AE68" s="227"/>
      <c r="AF68" s="227"/>
      <c r="AG68" s="227"/>
      <c r="AH68" s="227"/>
      <c r="AI68" s="227"/>
      <c r="AJ68" s="227"/>
      <c r="AK68" s="228"/>
      <c r="AL68" s="227"/>
      <c r="AM68" s="227"/>
      <c r="AN68" s="227"/>
      <c r="AO68" s="227"/>
      <c r="AP68" s="227"/>
      <c r="AQ68" s="227"/>
      <c r="AR68" s="227"/>
      <c r="AS68" s="227"/>
      <c r="AT68" s="227"/>
      <c r="AU68" s="228"/>
      <c r="AV68" s="227"/>
      <c r="AW68" s="227"/>
      <c r="AX68" s="227"/>
      <c r="AY68" s="227"/>
      <c r="AZ68" s="227"/>
      <c r="BA68" s="227"/>
      <c r="BB68" s="227"/>
      <c r="BC68" s="227"/>
      <c r="BD68" s="227"/>
      <c r="BE68" s="228"/>
      <c r="BF68" s="227"/>
      <c r="BG68" s="227"/>
      <c r="BH68" s="227"/>
      <c r="BI68" s="227"/>
      <c r="BJ68" s="227"/>
      <c r="BK68" s="227"/>
      <c r="BL68" s="227"/>
      <c r="BM68" s="227"/>
      <c r="BN68" s="227"/>
      <c r="BO68" s="228"/>
      <c r="BP68" s="227"/>
      <c r="BQ68" s="227"/>
      <c r="BR68" s="227"/>
      <c r="BS68" s="227"/>
      <c r="BT68" s="227"/>
      <c r="BU68" s="227"/>
      <c r="BV68" s="227"/>
      <c r="BW68" s="227"/>
      <c r="BX68" s="227"/>
      <c r="BY68" s="228"/>
      <c r="BZ68" s="227"/>
      <c r="CA68" s="227"/>
      <c r="CB68" s="227"/>
      <c r="CC68" s="227"/>
      <c r="CD68" s="227"/>
      <c r="CE68" s="227"/>
      <c r="CF68" s="227"/>
      <c r="CG68" s="227"/>
      <c r="CH68" s="227"/>
      <c r="CI68" s="228"/>
      <c r="CJ68" s="227"/>
      <c r="CK68" s="227"/>
      <c r="CL68" s="227"/>
      <c r="CM68" s="227"/>
      <c r="CN68" s="227"/>
      <c r="CO68" s="227"/>
      <c r="CP68" s="227"/>
      <c r="CQ68" s="227"/>
      <c r="CR68" s="227"/>
      <c r="CS68" s="228"/>
      <c r="CT68" s="227"/>
      <c r="CU68" s="227"/>
      <c r="CV68" s="227"/>
      <c r="CW68" s="227"/>
      <c r="CX68" s="227"/>
      <c r="CY68" s="227"/>
      <c r="CZ68" s="227"/>
      <c r="DA68" s="227"/>
      <c r="DB68" s="227"/>
      <c r="DC68" s="229"/>
    </row>
    <row r="69" spans="2:111" x14ac:dyDescent="0.2">
      <c r="B69" s="211"/>
      <c r="C69" s="611"/>
      <c r="D69" s="212" t="str">
        <f>'Technology Matrix'!B41</f>
        <v>Chemical Treatment of Ponds</v>
      </c>
      <c r="E69" s="253" t="str">
        <f>'Technology Matrix'!S41</f>
        <v>N/A</v>
      </c>
      <c r="F69" s="213" t="str">
        <f>'Technology Matrix'!T41</f>
        <v>N/A</v>
      </c>
      <c r="G69" s="215" t="str">
        <f t="shared" ref="G69:BR69" si="47">IF(AND(G$3&gt;=$E69,G$3&lt;=$F69),"T","F")</f>
        <v>F</v>
      </c>
      <c r="H69" s="214" t="str">
        <f t="shared" si="47"/>
        <v>F</v>
      </c>
      <c r="I69" s="214" t="str">
        <f t="shared" si="47"/>
        <v>F</v>
      </c>
      <c r="J69" s="214" t="str">
        <f t="shared" si="47"/>
        <v>F</v>
      </c>
      <c r="K69" s="214" t="str">
        <f t="shared" si="47"/>
        <v>F</v>
      </c>
      <c r="L69" s="214" t="str">
        <f t="shared" si="47"/>
        <v>F</v>
      </c>
      <c r="M69" s="214" t="str">
        <f t="shared" si="47"/>
        <v>F</v>
      </c>
      <c r="N69" s="214" t="str">
        <f t="shared" si="47"/>
        <v>F</v>
      </c>
      <c r="O69" s="214" t="str">
        <f t="shared" si="47"/>
        <v>F</v>
      </c>
      <c r="P69" s="214" t="str">
        <f t="shared" si="47"/>
        <v>F</v>
      </c>
      <c r="Q69" s="215" t="str">
        <f t="shared" si="47"/>
        <v>F</v>
      </c>
      <c r="R69" s="214" t="str">
        <f t="shared" si="47"/>
        <v>F</v>
      </c>
      <c r="S69" s="214" t="str">
        <f t="shared" si="47"/>
        <v>F</v>
      </c>
      <c r="T69" s="214" t="str">
        <f t="shared" si="47"/>
        <v>F</v>
      </c>
      <c r="U69" s="214" t="str">
        <f t="shared" si="47"/>
        <v>F</v>
      </c>
      <c r="V69" s="214" t="str">
        <f t="shared" si="47"/>
        <v>F</v>
      </c>
      <c r="W69" s="214" t="str">
        <f t="shared" si="47"/>
        <v>F</v>
      </c>
      <c r="X69" s="214" t="str">
        <f t="shared" si="47"/>
        <v>F</v>
      </c>
      <c r="Y69" s="214" t="str">
        <f t="shared" si="47"/>
        <v>F</v>
      </c>
      <c r="Z69" s="214" t="str">
        <f t="shared" si="47"/>
        <v>F</v>
      </c>
      <c r="AA69" s="215" t="str">
        <f t="shared" si="47"/>
        <v>F</v>
      </c>
      <c r="AB69" s="214" t="str">
        <f t="shared" si="47"/>
        <v>F</v>
      </c>
      <c r="AC69" s="214" t="str">
        <f t="shared" si="47"/>
        <v>F</v>
      </c>
      <c r="AD69" s="214" t="str">
        <f t="shared" si="47"/>
        <v>F</v>
      </c>
      <c r="AE69" s="214" t="str">
        <f t="shared" si="47"/>
        <v>F</v>
      </c>
      <c r="AF69" s="214" t="str">
        <f t="shared" si="47"/>
        <v>F</v>
      </c>
      <c r="AG69" s="214" t="str">
        <f t="shared" si="47"/>
        <v>F</v>
      </c>
      <c r="AH69" s="214" t="str">
        <f t="shared" si="47"/>
        <v>F</v>
      </c>
      <c r="AI69" s="214" t="str">
        <f t="shared" si="47"/>
        <v>F</v>
      </c>
      <c r="AJ69" s="214" t="str">
        <f t="shared" si="47"/>
        <v>F</v>
      </c>
      <c r="AK69" s="215" t="str">
        <f t="shared" si="47"/>
        <v>F</v>
      </c>
      <c r="AL69" s="214" t="str">
        <f t="shared" si="47"/>
        <v>F</v>
      </c>
      <c r="AM69" s="214" t="str">
        <f t="shared" si="47"/>
        <v>F</v>
      </c>
      <c r="AN69" s="214" t="str">
        <f t="shared" si="47"/>
        <v>F</v>
      </c>
      <c r="AO69" s="214" t="str">
        <f t="shared" si="47"/>
        <v>F</v>
      </c>
      <c r="AP69" s="214" t="str">
        <f t="shared" si="47"/>
        <v>F</v>
      </c>
      <c r="AQ69" s="214" t="str">
        <f t="shared" si="47"/>
        <v>F</v>
      </c>
      <c r="AR69" s="214" t="str">
        <f t="shared" si="47"/>
        <v>F</v>
      </c>
      <c r="AS69" s="214" t="str">
        <f t="shared" si="47"/>
        <v>F</v>
      </c>
      <c r="AT69" s="214" t="str">
        <f t="shared" si="47"/>
        <v>F</v>
      </c>
      <c r="AU69" s="215" t="str">
        <f t="shared" si="47"/>
        <v>F</v>
      </c>
      <c r="AV69" s="214" t="str">
        <f t="shared" si="47"/>
        <v>F</v>
      </c>
      <c r="AW69" s="214" t="str">
        <f t="shared" si="47"/>
        <v>F</v>
      </c>
      <c r="AX69" s="214" t="str">
        <f t="shared" si="47"/>
        <v>F</v>
      </c>
      <c r="AY69" s="214" t="str">
        <f t="shared" si="47"/>
        <v>F</v>
      </c>
      <c r="AZ69" s="214" t="str">
        <f t="shared" si="47"/>
        <v>F</v>
      </c>
      <c r="BA69" s="214" t="str">
        <f t="shared" si="47"/>
        <v>F</v>
      </c>
      <c r="BB69" s="214" t="str">
        <f t="shared" si="47"/>
        <v>F</v>
      </c>
      <c r="BC69" s="214" t="str">
        <f t="shared" si="47"/>
        <v>F</v>
      </c>
      <c r="BD69" s="214" t="str">
        <f t="shared" si="47"/>
        <v>F</v>
      </c>
      <c r="BE69" s="215" t="str">
        <f t="shared" si="47"/>
        <v>F</v>
      </c>
      <c r="BF69" s="214" t="str">
        <f t="shared" si="47"/>
        <v>F</v>
      </c>
      <c r="BG69" s="214" t="str">
        <f t="shared" si="47"/>
        <v>F</v>
      </c>
      <c r="BH69" s="214" t="str">
        <f t="shared" si="47"/>
        <v>F</v>
      </c>
      <c r="BI69" s="214" t="str">
        <f t="shared" si="47"/>
        <v>F</v>
      </c>
      <c r="BJ69" s="214" t="str">
        <f t="shared" si="47"/>
        <v>F</v>
      </c>
      <c r="BK69" s="214" t="str">
        <f t="shared" si="47"/>
        <v>F</v>
      </c>
      <c r="BL69" s="214" t="str">
        <f t="shared" si="47"/>
        <v>F</v>
      </c>
      <c r="BM69" s="214" t="str">
        <f t="shared" si="47"/>
        <v>F</v>
      </c>
      <c r="BN69" s="214" t="str">
        <f t="shared" si="47"/>
        <v>F</v>
      </c>
      <c r="BO69" s="215" t="str">
        <f t="shared" si="47"/>
        <v>F</v>
      </c>
      <c r="BP69" s="214" t="str">
        <f t="shared" si="47"/>
        <v>F</v>
      </c>
      <c r="BQ69" s="214" t="str">
        <f t="shared" si="47"/>
        <v>F</v>
      </c>
      <c r="BR69" s="214" t="str">
        <f t="shared" si="47"/>
        <v>F</v>
      </c>
      <c r="BS69" s="214" t="str">
        <f t="shared" si="44"/>
        <v>F</v>
      </c>
      <c r="BT69" s="214" t="str">
        <f t="shared" si="44"/>
        <v>F</v>
      </c>
      <c r="BU69" s="214" t="str">
        <f t="shared" si="44"/>
        <v>F</v>
      </c>
      <c r="BV69" s="214" t="str">
        <f t="shared" si="44"/>
        <v>F</v>
      </c>
      <c r="BW69" s="214" t="str">
        <f t="shared" si="44"/>
        <v>F</v>
      </c>
      <c r="BX69" s="214" t="str">
        <f t="shared" si="44"/>
        <v>F</v>
      </c>
      <c r="BY69" s="215" t="str">
        <f t="shared" si="44"/>
        <v>F</v>
      </c>
      <c r="BZ69" s="214" t="str">
        <f t="shared" si="44"/>
        <v>F</v>
      </c>
      <c r="CA69" s="214" t="str">
        <f t="shared" si="44"/>
        <v>F</v>
      </c>
      <c r="CB69" s="214" t="str">
        <f t="shared" si="44"/>
        <v>F</v>
      </c>
      <c r="CC69" s="214" t="str">
        <f t="shared" si="44"/>
        <v>F</v>
      </c>
      <c r="CD69" s="214" t="str">
        <f t="shared" si="44"/>
        <v>F</v>
      </c>
      <c r="CE69" s="214" t="str">
        <f t="shared" si="44"/>
        <v>F</v>
      </c>
      <c r="CF69" s="214" t="str">
        <f t="shared" si="44"/>
        <v>F</v>
      </c>
      <c r="CG69" s="214" t="str">
        <f t="shared" si="44"/>
        <v>F</v>
      </c>
      <c r="CH69" s="214" t="str">
        <f t="shared" si="44"/>
        <v>F</v>
      </c>
      <c r="CI69" s="215" t="str">
        <f t="shared" si="44"/>
        <v>F</v>
      </c>
      <c r="CJ69" s="214" t="str">
        <f t="shared" si="44"/>
        <v>F</v>
      </c>
      <c r="CK69" s="214" t="str">
        <f t="shared" si="44"/>
        <v>F</v>
      </c>
      <c r="CL69" s="214" t="str">
        <f t="shared" si="44"/>
        <v>F</v>
      </c>
      <c r="CM69" s="214" t="str">
        <f t="shared" si="44"/>
        <v>F</v>
      </c>
      <c r="CN69" s="214" t="str">
        <f t="shared" si="44"/>
        <v>F</v>
      </c>
      <c r="CO69" s="214" t="str">
        <f t="shared" si="44"/>
        <v>F</v>
      </c>
      <c r="CP69" s="214" t="str">
        <f t="shared" si="44"/>
        <v>F</v>
      </c>
      <c r="CQ69" s="214" t="str">
        <f t="shared" si="44"/>
        <v>F</v>
      </c>
      <c r="CR69" s="214" t="str">
        <f t="shared" si="44"/>
        <v>F</v>
      </c>
      <c r="CS69" s="215" t="str">
        <f t="shared" si="44"/>
        <v>F</v>
      </c>
      <c r="CT69" s="214" t="str">
        <f t="shared" si="44"/>
        <v>F</v>
      </c>
      <c r="CU69" s="214" t="str">
        <f t="shared" si="44"/>
        <v>F</v>
      </c>
      <c r="CV69" s="214" t="str">
        <f t="shared" si="44"/>
        <v>F</v>
      </c>
      <c r="CW69" s="214" t="str">
        <f t="shared" si="44"/>
        <v>F</v>
      </c>
      <c r="CX69" s="214" t="str">
        <f t="shared" si="44"/>
        <v>F</v>
      </c>
      <c r="CY69" s="214" t="str">
        <f t="shared" si="44"/>
        <v>F</v>
      </c>
      <c r="CZ69" s="214" t="str">
        <f t="shared" si="44"/>
        <v>F</v>
      </c>
      <c r="DA69" s="214" t="str">
        <f t="shared" si="44"/>
        <v>F</v>
      </c>
      <c r="DB69" s="214" t="str">
        <f t="shared" si="44"/>
        <v>F</v>
      </c>
      <c r="DC69" s="216" t="str">
        <f t="shared" si="44"/>
        <v>F</v>
      </c>
    </row>
    <row r="70" spans="2:111" x14ac:dyDescent="0.2">
      <c r="B70" s="211"/>
      <c r="C70" s="611"/>
      <c r="D70" s="212"/>
      <c r="E70" s="253"/>
      <c r="F70" s="213"/>
      <c r="G70" s="226"/>
      <c r="H70" s="227"/>
      <c r="I70" s="227"/>
      <c r="J70" s="227"/>
      <c r="K70" s="227"/>
      <c r="L70" s="227"/>
      <c r="M70" s="227"/>
      <c r="N70" s="227"/>
      <c r="O70" s="227"/>
      <c r="P70" s="227"/>
      <c r="Q70" s="228"/>
      <c r="R70" s="227"/>
      <c r="S70" s="227"/>
      <c r="T70" s="227"/>
      <c r="U70" s="227"/>
      <c r="V70" s="227"/>
      <c r="W70" s="227"/>
      <c r="X70" s="227"/>
      <c r="Y70" s="227"/>
      <c r="Z70" s="227"/>
      <c r="AA70" s="228"/>
      <c r="AB70" s="227"/>
      <c r="AC70" s="227"/>
      <c r="AD70" s="227"/>
      <c r="AE70" s="227"/>
      <c r="AF70" s="227"/>
      <c r="AG70" s="227"/>
      <c r="AH70" s="227"/>
      <c r="AI70" s="227"/>
      <c r="AJ70" s="227"/>
      <c r="AK70" s="228"/>
      <c r="AL70" s="227"/>
      <c r="AM70" s="227"/>
      <c r="AN70" s="227"/>
      <c r="AO70" s="227"/>
      <c r="AP70" s="227"/>
      <c r="AQ70" s="227"/>
      <c r="AR70" s="227"/>
      <c r="AS70" s="227"/>
      <c r="AT70" s="227"/>
      <c r="AU70" s="228"/>
      <c r="AV70" s="227"/>
      <c r="AW70" s="227"/>
      <c r="AX70" s="227"/>
      <c r="AY70" s="227"/>
      <c r="AZ70" s="227"/>
      <c r="BA70" s="227"/>
      <c r="BB70" s="227"/>
      <c r="BC70" s="227"/>
      <c r="BD70" s="227"/>
      <c r="BE70" s="228"/>
      <c r="BF70" s="227"/>
      <c r="BG70" s="227"/>
      <c r="BH70" s="227"/>
      <c r="BI70" s="227"/>
      <c r="BJ70" s="227"/>
      <c r="BK70" s="227"/>
      <c r="BL70" s="227"/>
      <c r="BM70" s="227"/>
      <c r="BN70" s="227"/>
      <c r="BO70" s="228"/>
      <c r="BP70" s="227"/>
      <c r="BQ70" s="227"/>
      <c r="BR70" s="227"/>
      <c r="BS70" s="227"/>
      <c r="BT70" s="227"/>
      <c r="BU70" s="227"/>
      <c r="BV70" s="227"/>
      <c r="BW70" s="227"/>
      <c r="BX70" s="227"/>
      <c r="BY70" s="228"/>
      <c r="BZ70" s="227"/>
      <c r="CA70" s="227"/>
      <c r="CB70" s="227"/>
      <c r="CC70" s="227"/>
      <c r="CD70" s="227"/>
      <c r="CE70" s="227"/>
      <c r="CF70" s="227"/>
      <c r="CG70" s="227"/>
      <c r="CH70" s="227"/>
      <c r="CI70" s="228"/>
      <c r="CJ70" s="227"/>
      <c r="CK70" s="227"/>
      <c r="CL70" s="227"/>
      <c r="CM70" s="227"/>
      <c r="CN70" s="227"/>
      <c r="CO70" s="227"/>
      <c r="CP70" s="227"/>
      <c r="CQ70" s="227"/>
      <c r="CR70" s="227"/>
      <c r="CS70" s="228"/>
      <c r="CT70" s="227"/>
      <c r="CU70" s="227"/>
      <c r="CV70" s="227"/>
      <c r="CW70" s="227"/>
      <c r="CX70" s="227"/>
      <c r="CY70" s="227"/>
      <c r="CZ70" s="227"/>
      <c r="DA70" s="227"/>
      <c r="DB70" s="227"/>
      <c r="DC70" s="229"/>
    </row>
    <row r="71" spans="2:111" x14ac:dyDescent="0.2">
      <c r="B71" s="211"/>
      <c r="C71" s="611"/>
      <c r="D71" s="212" t="str">
        <f>'Technology Matrix'!B42</f>
        <v>Pond and Estuary Dredging</v>
      </c>
      <c r="E71" s="253">
        <f>'Technology Matrix'!S42</f>
        <v>80</v>
      </c>
      <c r="F71" s="213">
        <f>'Technology Matrix'!T42</f>
        <v>95</v>
      </c>
      <c r="G71" s="215" t="str">
        <f t="shared" ref="G71:BR71" si="48">IF(AND(G$3&gt;=$E71,G$3&lt;=$F71),"T","F")</f>
        <v>F</v>
      </c>
      <c r="H71" s="214" t="str">
        <f t="shared" si="48"/>
        <v>F</v>
      </c>
      <c r="I71" s="214" t="str">
        <f t="shared" si="48"/>
        <v>F</v>
      </c>
      <c r="J71" s="214" t="str">
        <f t="shared" si="48"/>
        <v>F</v>
      </c>
      <c r="K71" s="214" t="str">
        <f t="shared" si="48"/>
        <v>F</v>
      </c>
      <c r="L71" s="214" t="str">
        <f t="shared" si="48"/>
        <v>F</v>
      </c>
      <c r="M71" s="214" t="str">
        <f t="shared" si="48"/>
        <v>F</v>
      </c>
      <c r="N71" s="214" t="str">
        <f t="shared" si="48"/>
        <v>F</v>
      </c>
      <c r="O71" s="214" t="str">
        <f t="shared" si="48"/>
        <v>F</v>
      </c>
      <c r="P71" s="214" t="str">
        <f t="shared" si="48"/>
        <v>F</v>
      </c>
      <c r="Q71" s="215" t="str">
        <f t="shared" si="48"/>
        <v>F</v>
      </c>
      <c r="R71" s="214" t="str">
        <f t="shared" si="48"/>
        <v>F</v>
      </c>
      <c r="S71" s="214" t="str">
        <f t="shared" si="48"/>
        <v>F</v>
      </c>
      <c r="T71" s="214" t="str">
        <f t="shared" si="48"/>
        <v>F</v>
      </c>
      <c r="U71" s="214" t="str">
        <f t="shared" si="48"/>
        <v>F</v>
      </c>
      <c r="V71" s="214" t="str">
        <f t="shared" si="48"/>
        <v>F</v>
      </c>
      <c r="W71" s="214" t="str">
        <f t="shared" si="48"/>
        <v>F</v>
      </c>
      <c r="X71" s="214" t="str">
        <f t="shared" si="48"/>
        <v>F</v>
      </c>
      <c r="Y71" s="214" t="str">
        <f t="shared" si="48"/>
        <v>F</v>
      </c>
      <c r="Z71" s="214" t="str">
        <f t="shared" si="48"/>
        <v>F</v>
      </c>
      <c r="AA71" s="215" t="str">
        <f t="shared" si="48"/>
        <v>F</v>
      </c>
      <c r="AB71" s="214" t="str">
        <f t="shared" si="48"/>
        <v>F</v>
      </c>
      <c r="AC71" s="214" t="str">
        <f t="shared" si="48"/>
        <v>F</v>
      </c>
      <c r="AD71" s="214" t="str">
        <f t="shared" si="48"/>
        <v>F</v>
      </c>
      <c r="AE71" s="214" t="str">
        <f t="shared" si="48"/>
        <v>F</v>
      </c>
      <c r="AF71" s="214" t="str">
        <f t="shared" si="48"/>
        <v>F</v>
      </c>
      <c r="AG71" s="214" t="str">
        <f t="shared" si="48"/>
        <v>F</v>
      </c>
      <c r="AH71" s="214" t="str">
        <f t="shared" si="48"/>
        <v>F</v>
      </c>
      <c r="AI71" s="214" t="str">
        <f t="shared" si="48"/>
        <v>F</v>
      </c>
      <c r="AJ71" s="214" t="str">
        <f t="shared" si="48"/>
        <v>F</v>
      </c>
      <c r="AK71" s="215" t="str">
        <f t="shared" si="48"/>
        <v>F</v>
      </c>
      <c r="AL71" s="214" t="str">
        <f t="shared" si="48"/>
        <v>F</v>
      </c>
      <c r="AM71" s="214" t="str">
        <f t="shared" si="48"/>
        <v>F</v>
      </c>
      <c r="AN71" s="214" t="str">
        <f t="shared" si="48"/>
        <v>F</v>
      </c>
      <c r="AO71" s="214" t="str">
        <f t="shared" si="48"/>
        <v>F</v>
      </c>
      <c r="AP71" s="214" t="str">
        <f t="shared" si="48"/>
        <v>F</v>
      </c>
      <c r="AQ71" s="214" t="str">
        <f t="shared" si="48"/>
        <v>F</v>
      </c>
      <c r="AR71" s="214" t="str">
        <f t="shared" si="48"/>
        <v>F</v>
      </c>
      <c r="AS71" s="214" t="str">
        <f t="shared" si="48"/>
        <v>F</v>
      </c>
      <c r="AT71" s="214" t="str">
        <f t="shared" si="48"/>
        <v>F</v>
      </c>
      <c r="AU71" s="215" t="str">
        <f t="shared" si="48"/>
        <v>F</v>
      </c>
      <c r="AV71" s="214" t="str">
        <f t="shared" si="48"/>
        <v>F</v>
      </c>
      <c r="AW71" s="214" t="str">
        <f t="shared" si="48"/>
        <v>F</v>
      </c>
      <c r="AX71" s="214" t="str">
        <f t="shared" si="48"/>
        <v>F</v>
      </c>
      <c r="AY71" s="214" t="str">
        <f t="shared" si="48"/>
        <v>F</v>
      </c>
      <c r="AZ71" s="214" t="str">
        <f t="shared" si="48"/>
        <v>F</v>
      </c>
      <c r="BA71" s="214" t="str">
        <f t="shared" si="48"/>
        <v>F</v>
      </c>
      <c r="BB71" s="214" t="str">
        <f t="shared" si="48"/>
        <v>F</v>
      </c>
      <c r="BC71" s="214" t="str">
        <f t="shared" si="48"/>
        <v>F</v>
      </c>
      <c r="BD71" s="214" t="str">
        <f t="shared" si="48"/>
        <v>F</v>
      </c>
      <c r="BE71" s="215" t="str">
        <f t="shared" si="48"/>
        <v>F</v>
      </c>
      <c r="BF71" s="214" t="str">
        <f t="shared" si="48"/>
        <v>F</v>
      </c>
      <c r="BG71" s="214" t="str">
        <f t="shared" si="48"/>
        <v>F</v>
      </c>
      <c r="BH71" s="214" t="str">
        <f t="shared" si="48"/>
        <v>F</v>
      </c>
      <c r="BI71" s="214" t="str">
        <f t="shared" si="48"/>
        <v>F</v>
      </c>
      <c r="BJ71" s="214" t="str">
        <f t="shared" si="48"/>
        <v>F</v>
      </c>
      <c r="BK71" s="214" t="str">
        <f t="shared" si="48"/>
        <v>F</v>
      </c>
      <c r="BL71" s="214" t="str">
        <f t="shared" si="48"/>
        <v>F</v>
      </c>
      <c r="BM71" s="214" t="str">
        <f t="shared" si="48"/>
        <v>F</v>
      </c>
      <c r="BN71" s="214" t="str">
        <f t="shared" si="48"/>
        <v>F</v>
      </c>
      <c r="BO71" s="215" t="str">
        <f t="shared" si="48"/>
        <v>F</v>
      </c>
      <c r="BP71" s="214" t="str">
        <f t="shared" si="48"/>
        <v>F</v>
      </c>
      <c r="BQ71" s="214" t="str">
        <f t="shared" si="48"/>
        <v>F</v>
      </c>
      <c r="BR71" s="214" t="str">
        <f t="shared" si="48"/>
        <v>F</v>
      </c>
      <c r="BS71" s="214" t="str">
        <f t="shared" si="44"/>
        <v>F</v>
      </c>
      <c r="BT71" s="214" t="str">
        <f t="shared" si="44"/>
        <v>F</v>
      </c>
      <c r="BU71" s="214" t="str">
        <f t="shared" si="44"/>
        <v>F</v>
      </c>
      <c r="BV71" s="214" t="str">
        <f t="shared" si="44"/>
        <v>F</v>
      </c>
      <c r="BW71" s="214" t="str">
        <f t="shared" si="44"/>
        <v>F</v>
      </c>
      <c r="BX71" s="214" t="str">
        <f t="shared" si="44"/>
        <v>F</v>
      </c>
      <c r="BY71" s="215" t="str">
        <f t="shared" si="44"/>
        <v>F</v>
      </c>
      <c r="BZ71" s="214" t="str">
        <f t="shared" si="44"/>
        <v>F</v>
      </c>
      <c r="CA71" s="214" t="str">
        <f t="shared" si="44"/>
        <v>F</v>
      </c>
      <c r="CB71" s="214" t="str">
        <f t="shared" si="44"/>
        <v>F</v>
      </c>
      <c r="CC71" s="214" t="str">
        <f t="shared" si="44"/>
        <v>F</v>
      </c>
      <c r="CD71" s="214" t="str">
        <f t="shared" si="44"/>
        <v>F</v>
      </c>
      <c r="CE71" s="214" t="str">
        <f t="shared" si="44"/>
        <v>F</v>
      </c>
      <c r="CF71" s="214" t="str">
        <f t="shared" si="44"/>
        <v>F</v>
      </c>
      <c r="CG71" s="214" t="str">
        <f t="shared" si="44"/>
        <v>F</v>
      </c>
      <c r="CH71" s="214" t="str">
        <f t="shared" si="44"/>
        <v>F</v>
      </c>
      <c r="CI71" s="215" t="str">
        <f t="shared" si="44"/>
        <v>T</v>
      </c>
      <c r="CJ71" s="214" t="str">
        <f t="shared" si="44"/>
        <v>T</v>
      </c>
      <c r="CK71" s="214" t="str">
        <f t="shared" si="44"/>
        <v>T</v>
      </c>
      <c r="CL71" s="214" t="str">
        <f t="shared" si="44"/>
        <v>T</v>
      </c>
      <c r="CM71" s="214" t="str">
        <f t="shared" si="44"/>
        <v>T</v>
      </c>
      <c r="CN71" s="214" t="str">
        <f t="shared" si="44"/>
        <v>T</v>
      </c>
      <c r="CO71" s="214" t="str">
        <f t="shared" si="44"/>
        <v>T</v>
      </c>
      <c r="CP71" s="214" t="str">
        <f t="shared" si="44"/>
        <v>T</v>
      </c>
      <c r="CQ71" s="214" t="str">
        <f t="shared" si="44"/>
        <v>T</v>
      </c>
      <c r="CR71" s="214" t="str">
        <f t="shared" si="44"/>
        <v>T</v>
      </c>
      <c r="CS71" s="215" t="str">
        <f t="shared" si="44"/>
        <v>T</v>
      </c>
      <c r="CT71" s="214" t="str">
        <f t="shared" si="44"/>
        <v>T</v>
      </c>
      <c r="CU71" s="214" t="str">
        <f t="shared" si="44"/>
        <v>T</v>
      </c>
      <c r="CV71" s="214" t="str">
        <f t="shared" si="44"/>
        <v>T</v>
      </c>
      <c r="CW71" s="214" t="str">
        <f t="shared" si="44"/>
        <v>T</v>
      </c>
      <c r="CX71" s="214" t="str">
        <f t="shared" si="44"/>
        <v>T</v>
      </c>
      <c r="CY71" s="214" t="str">
        <f t="shared" si="44"/>
        <v>F</v>
      </c>
      <c r="CZ71" s="214" t="str">
        <f t="shared" ref="CZ71:DC71" si="49">IF(AND(CZ$3&gt;=$E71,CZ$3&lt;=$F71),"T","F")</f>
        <v>F</v>
      </c>
      <c r="DA71" s="214" t="str">
        <f t="shared" si="49"/>
        <v>F</v>
      </c>
      <c r="DB71" s="214" t="str">
        <f t="shared" si="49"/>
        <v>F</v>
      </c>
      <c r="DC71" s="216" t="str">
        <f t="shared" si="49"/>
        <v>F</v>
      </c>
    </row>
    <row r="72" spans="2:111" s="220" customFormat="1" x14ac:dyDescent="0.2">
      <c r="B72" s="221"/>
      <c r="C72" s="232"/>
      <c r="D72" s="212"/>
      <c r="E72" s="253"/>
      <c r="F72" s="213"/>
      <c r="G72" s="226"/>
      <c r="H72" s="227"/>
      <c r="I72" s="227"/>
      <c r="J72" s="227"/>
      <c r="K72" s="227"/>
      <c r="L72" s="227"/>
      <c r="M72" s="227"/>
      <c r="N72" s="227"/>
      <c r="O72" s="227"/>
      <c r="P72" s="227"/>
      <c r="Q72" s="228"/>
      <c r="R72" s="227"/>
      <c r="S72" s="227"/>
      <c r="T72" s="227"/>
      <c r="U72" s="227"/>
      <c r="V72" s="227"/>
      <c r="W72" s="227"/>
      <c r="X72" s="227"/>
      <c r="Y72" s="227"/>
      <c r="Z72" s="227"/>
      <c r="AA72" s="228"/>
      <c r="AB72" s="227"/>
      <c r="AC72" s="227"/>
      <c r="AD72" s="227"/>
      <c r="AE72" s="227"/>
      <c r="AF72" s="227"/>
      <c r="AG72" s="227"/>
      <c r="AH72" s="227"/>
      <c r="AI72" s="227"/>
      <c r="AJ72" s="227"/>
      <c r="AK72" s="228"/>
      <c r="AL72" s="227"/>
      <c r="AM72" s="227"/>
      <c r="AN72" s="227"/>
      <c r="AO72" s="227"/>
      <c r="AP72" s="227"/>
      <c r="AQ72" s="227"/>
      <c r="AR72" s="227"/>
      <c r="AS72" s="227"/>
      <c r="AT72" s="227"/>
      <c r="AU72" s="228"/>
      <c r="AV72" s="227"/>
      <c r="AW72" s="227"/>
      <c r="AX72" s="227"/>
      <c r="AY72" s="227"/>
      <c r="AZ72" s="227"/>
      <c r="BA72" s="227"/>
      <c r="BB72" s="227"/>
      <c r="BC72" s="227"/>
      <c r="BD72" s="227"/>
      <c r="BE72" s="228"/>
      <c r="BF72" s="227"/>
      <c r="BG72" s="227"/>
      <c r="BH72" s="227"/>
      <c r="BI72" s="227"/>
      <c r="BJ72" s="227"/>
      <c r="BK72" s="227"/>
      <c r="BL72" s="227"/>
      <c r="BM72" s="227"/>
      <c r="BN72" s="227"/>
      <c r="BO72" s="228"/>
      <c r="BP72" s="227"/>
      <c r="BQ72" s="227"/>
      <c r="BR72" s="227"/>
      <c r="BS72" s="227"/>
      <c r="BT72" s="227"/>
      <c r="BU72" s="227"/>
      <c r="BV72" s="227"/>
      <c r="BW72" s="227"/>
      <c r="BX72" s="227"/>
      <c r="BY72" s="228"/>
      <c r="BZ72" s="227"/>
      <c r="CA72" s="227"/>
      <c r="CB72" s="227"/>
      <c r="CC72" s="227"/>
      <c r="CD72" s="227"/>
      <c r="CE72" s="227"/>
      <c r="CF72" s="227"/>
      <c r="CG72" s="227"/>
      <c r="CH72" s="227"/>
      <c r="CI72" s="228"/>
      <c r="CJ72" s="227"/>
      <c r="CK72" s="227"/>
      <c r="CL72" s="227"/>
      <c r="CM72" s="227"/>
      <c r="CN72" s="227"/>
      <c r="CO72" s="227"/>
      <c r="CP72" s="227"/>
      <c r="CQ72" s="227"/>
      <c r="CR72" s="227"/>
      <c r="CS72" s="228"/>
      <c r="CT72" s="227"/>
      <c r="CU72" s="227"/>
      <c r="CV72" s="227"/>
      <c r="CW72" s="227"/>
      <c r="CX72" s="227"/>
      <c r="CY72" s="227"/>
      <c r="CZ72" s="227"/>
      <c r="DA72" s="227"/>
      <c r="DB72" s="227"/>
      <c r="DC72" s="229"/>
      <c r="DD72" s="233"/>
      <c r="DE72" s="233"/>
      <c r="DF72" s="233"/>
      <c r="DG72" s="233"/>
    </row>
    <row r="73" spans="2:111" ht="12.75" customHeight="1" x14ac:dyDescent="0.2">
      <c r="B73" s="211"/>
      <c r="C73" s="609" t="str">
        <f>'Technology Matrix'!A43</f>
        <v>On-Site Treatment Systems</v>
      </c>
      <c r="D73" s="212" t="s">
        <v>630</v>
      </c>
      <c r="E73" s="253">
        <f>'Technology Matrix'!S43</f>
        <v>34.375</v>
      </c>
      <c r="F73" s="213">
        <f>'Technology Matrix'!T43</f>
        <v>34.375</v>
      </c>
      <c r="G73" s="215" t="str">
        <f>IF(AND(G$3&gt;=$E73,G$3&lt;=$F73),"T","F")</f>
        <v>F</v>
      </c>
      <c r="H73" s="214" t="str">
        <f t="shared" ref="H73:BR73" si="50">IF(AND(H$3&gt;=$E73,H$3&lt;=$F73),"T","F")</f>
        <v>F</v>
      </c>
      <c r="I73" s="214" t="str">
        <f t="shared" si="50"/>
        <v>F</v>
      </c>
      <c r="J73" s="214" t="str">
        <f t="shared" si="50"/>
        <v>F</v>
      </c>
      <c r="K73" s="214" t="str">
        <f t="shared" si="50"/>
        <v>F</v>
      </c>
      <c r="L73" s="214" t="str">
        <f t="shared" si="50"/>
        <v>F</v>
      </c>
      <c r="M73" s="214" t="str">
        <f t="shared" si="50"/>
        <v>F</v>
      </c>
      <c r="N73" s="214" t="str">
        <f t="shared" si="50"/>
        <v>F</v>
      </c>
      <c r="O73" s="214" t="str">
        <f t="shared" si="50"/>
        <v>F</v>
      </c>
      <c r="P73" s="214" t="str">
        <f t="shared" si="50"/>
        <v>F</v>
      </c>
      <c r="Q73" s="215" t="str">
        <f t="shared" si="50"/>
        <v>F</v>
      </c>
      <c r="R73" s="214" t="str">
        <f t="shared" si="50"/>
        <v>F</v>
      </c>
      <c r="S73" s="214" t="str">
        <f t="shared" si="50"/>
        <v>F</v>
      </c>
      <c r="T73" s="214" t="str">
        <f t="shared" si="50"/>
        <v>F</v>
      </c>
      <c r="U73" s="214" t="str">
        <f t="shared" si="50"/>
        <v>F</v>
      </c>
      <c r="V73" s="214" t="str">
        <f t="shared" si="50"/>
        <v>F</v>
      </c>
      <c r="W73" s="214" t="str">
        <f t="shared" si="50"/>
        <v>F</v>
      </c>
      <c r="X73" s="214" t="str">
        <f t="shared" si="50"/>
        <v>F</v>
      </c>
      <c r="Y73" s="214" t="str">
        <f t="shared" si="50"/>
        <v>F</v>
      </c>
      <c r="Z73" s="214" t="str">
        <f t="shared" si="50"/>
        <v>F</v>
      </c>
      <c r="AA73" s="215" t="str">
        <f t="shared" si="50"/>
        <v>F</v>
      </c>
      <c r="AB73" s="214" t="str">
        <f t="shared" si="50"/>
        <v>F</v>
      </c>
      <c r="AC73" s="214" t="str">
        <f t="shared" si="50"/>
        <v>F</v>
      </c>
      <c r="AD73" s="214" t="str">
        <f t="shared" si="50"/>
        <v>F</v>
      </c>
      <c r="AE73" s="214" t="str">
        <f t="shared" si="50"/>
        <v>F</v>
      </c>
      <c r="AF73" s="214" t="str">
        <f t="shared" si="50"/>
        <v>F</v>
      </c>
      <c r="AG73" s="214" t="str">
        <f t="shared" si="50"/>
        <v>F</v>
      </c>
      <c r="AH73" s="214" t="str">
        <f t="shared" si="50"/>
        <v>F</v>
      </c>
      <c r="AI73" s="214" t="str">
        <f t="shared" si="50"/>
        <v>F</v>
      </c>
      <c r="AJ73" s="214" t="str">
        <f t="shared" si="50"/>
        <v>F</v>
      </c>
      <c r="AK73" s="215" t="str">
        <f t="shared" si="50"/>
        <v>F</v>
      </c>
      <c r="AL73" s="214" t="str">
        <f t="shared" si="50"/>
        <v>F</v>
      </c>
      <c r="AM73" s="214" t="str">
        <f t="shared" si="50"/>
        <v>F</v>
      </c>
      <c r="AN73" s="214" t="str">
        <f t="shared" si="50"/>
        <v>F</v>
      </c>
      <c r="AO73" s="214" t="str">
        <f t="shared" si="50"/>
        <v>F</v>
      </c>
      <c r="AP73" s="255" t="str">
        <f t="shared" si="50"/>
        <v>F</v>
      </c>
      <c r="AQ73" s="214" t="str">
        <f t="shared" si="50"/>
        <v>F</v>
      </c>
      <c r="AR73" s="214" t="str">
        <f t="shared" si="50"/>
        <v>F</v>
      </c>
      <c r="AS73" s="214" t="str">
        <f t="shared" si="50"/>
        <v>F</v>
      </c>
      <c r="AT73" s="214" t="str">
        <f t="shared" si="50"/>
        <v>F</v>
      </c>
      <c r="AU73" s="215" t="str">
        <f t="shared" si="50"/>
        <v>F</v>
      </c>
      <c r="AV73" s="214" t="str">
        <f t="shared" si="50"/>
        <v>F</v>
      </c>
      <c r="AW73" s="214" t="str">
        <f t="shared" si="50"/>
        <v>F</v>
      </c>
      <c r="AX73" s="214" t="str">
        <f t="shared" si="50"/>
        <v>F</v>
      </c>
      <c r="AY73" s="214" t="str">
        <f t="shared" si="50"/>
        <v>F</v>
      </c>
      <c r="AZ73" s="214" t="str">
        <f t="shared" si="50"/>
        <v>F</v>
      </c>
      <c r="BA73" s="214" t="str">
        <f t="shared" si="50"/>
        <v>F</v>
      </c>
      <c r="BB73" s="214" t="str">
        <f t="shared" si="50"/>
        <v>F</v>
      </c>
      <c r="BC73" s="214" t="str">
        <f t="shared" si="50"/>
        <v>F</v>
      </c>
      <c r="BD73" s="214" t="str">
        <f t="shared" si="50"/>
        <v>F</v>
      </c>
      <c r="BE73" s="215" t="str">
        <f t="shared" si="50"/>
        <v>F</v>
      </c>
      <c r="BF73" s="214" t="str">
        <f t="shared" si="50"/>
        <v>F</v>
      </c>
      <c r="BG73" s="214" t="str">
        <f t="shared" si="50"/>
        <v>F</v>
      </c>
      <c r="BH73" s="214" t="str">
        <f t="shared" si="50"/>
        <v>F</v>
      </c>
      <c r="BI73" s="214" t="str">
        <f t="shared" si="50"/>
        <v>F</v>
      </c>
      <c r="BJ73" s="214" t="str">
        <f t="shared" si="50"/>
        <v>F</v>
      </c>
      <c r="BK73" s="214" t="str">
        <f t="shared" si="50"/>
        <v>F</v>
      </c>
      <c r="BL73" s="214" t="str">
        <f t="shared" si="50"/>
        <v>F</v>
      </c>
      <c r="BM73" s="214" t="str">
        <f t="shared" si="50"/>
        <v>F</v>
      </c>
      <c r="BN73" s="214" t="str">
        <f t="shared" si="50"/>
        <v>F</v>
      </c>
      <c r="BO73" s="215" t="str">
        <f t="shared" si="50"/>
        <v>F</v>
      </c>
      <c r="BP73" s="214" t="str">
        <f t="shared" si="50"/>
        <v>F</v>
      </c>
      <c r="BQ73" s="214" t="str">
        <f t="shared" si="50"/>
        <v>F</v>
      </c>
      <c r="BR73" s="214" t="str">
        <f t="shared" si="50"/>
        <v>F</v>
      </c>
      <c r="BS73" s="214" t="str">
        <f t="shared" ref="BS73:DC73" si="51">IF(AND(BS$3&gt;=$E73,BS$3&lt;=$F73),"T","F")</f>
        <v>F</v>
      </c>
      <c r="BT73" s="214" t="str">
        <f t="shared" si="51"/>
        <v>F</v>
      </c>
      <c r="BU73" s="214" t="str">
        <f t="shared" si="51"/>
        <v>F</v>
      </c>
      <c r="BV73" s="214" t="str">
        <f t="shared" si="51"/>
        <v>F</v>
      </c>
      <c r="BW73" s="214" t="str">
        <f t="shared" si="51"/>
        <v>F</v>
      </c>
      <c r="BX73" s="214" t="str">
        <f t="shared" si="51"/>
        <v>F</v>
      </c>
      <c r="BY73" s="215" t="str">
        <f t="shared" si="51"/>
        <v>F</v>
      </c>
      <c r="BZ73" s="214" t="str">
        <f t="shared" si="51"/>
        <v>F</v>
      </c>
      <c r="CA73" s="214" t="str">
        <f t="shared" si="51"/>
        <v>F</v>
      </c>
      <c r="CB73" s="214" t="str">
        <f t="shared" si="51"/>
        <v>F</v>
      </c>
      <c r="CC73" s="214" t="str">
        <f t="shared" si="51"/>
        <v>F</v>
      </c>
      <c r="CD73" s="214" t="str">
        <f t="shared" si="51"/>
        <v>F</v>
      </c>
      <c r="CE73" s="214" t="str">
        <f t="shared" si="51"/>
        <v>F</v>
      </c>
      <c r="CF73" s="214" t="str">
        <f t="shared" si="51"/>
        <v>F</v>
      </c>
      <c r="CG73" s="214" t="str">
        <f t="shared" si="51"/>
        <v>F</v>
      </c>
      <c r="CH73" s="214" t="str">
        <f t="shared" si="51"/>
        <v>F</v>
      </c>
      <c r="CI73" s="215" t="str">
        <f t="shared" si="51"/>
        <v>F</v>
      </c>
      <c r="CJ73" s="214" t="str">
        <f t="shared" si="51"/>
        <v>F</v>
      </c>
      <c r="CK73" s="214" t="str">
        <f t="shared" si="51"/>
        <v>F</v>
      </c>
      <c r="CL73" s="214" t="str">
        <f t="shared" si="51"/>
        <v>F</v>
      </c>
      <c r="CM73" s="214" t="str">
        <f t="shared" si="51"/>
        <v>F</v>
      </c>
      <c r="CN73" s="214" t="str">
        <f t="shared" si="51"/>
        <v>F</v>
      </c>
      <c r="CO73" s="214" t="str">
        <f t="shared" si="51"/>
        <v>F</v>
      </c>
      <c r="CP73" s="214" t="str">
        <f t="shared" si="51"/>
        <v>F</v>
      </c>
      <c r="CQ73" s="214" t="str">
        <f t="shared" si="51"/>
        <v>F</v>
      </c>
      <c r="CR73" s="214" t="str">
        <f t="shared" si="51"/>
        <v>F</v>
      </c>
      <c r="CS73" s="215" t="str">
        <f t="shared" si="51"/>
        <v>F</v>
      </c>
      <c r="CT73" s="214" t="str">
        <f t="shared" si="51"/>
        <v>F</v>
      </c>
      <c r="CU73" s="214" t="str">
        <f t="shared" si="51"/>
        <v>F</v>
      </c>
      <c r="CV73" s="214" t="str">
        <f t="shared" si="51"/>
        <v>F</v>
      </c>
      <c r="CW73" s="214" t="str">
        <f t="shared" si="51"/>
        <v>F</v>
      </c>
      <c r="CX73" s="214" t="str">
        <f t="shared" si="51"/>
        <v>F</v>
      </c>
      <c r="CY73" s="214" t="str">
        <f t="shared" si="51"/>
        <v>F</v>
      </c>
      <c r="CZ73" s="214" t="str">
        <f t="shared" si="51"/>
        <v>F</v>
      </c>
      <c r="DA73" s="214" t="str">
        <f t="shared" si="51"/>
        <v>F</v>
      </c>
      <c r="DB73" s="214" t="str">
        <f t="shared" si="51"/>
        <v>F</v>
      </c>
      <c r="DC73" s="216" t="str">
        <f t="shared" si="51"/>
        <v>F</v>
      </c>
    </row>
    <row r="74" spans="2:111" x14ac:dyDescent="0.2">
      <c r="B74" s="211"/>
      <c r="C74" s="609"/>
      <c r="D74" s="212"/>
      <c r="E74" s="253"/>
      <c r="F74" s="213"/>
      <c r="G74" s="226"/>
      <c r="H74" s="227"/>
      <c r="I74" s="227"/>
      <c r="J74" s="227"/>
      <c r="K74" s="227"/>
      <c r="L74" s="227"/>
      <c r="M74" s="227"/>
      <c r="N74" s="227"/>
      <c r="O74" s="227"/>
      <c r="P74" s="227"/>
      <c r="Q74" s="228"/>
      <c r="R74" s="227"/>
      <c r="S74" s="227"/>
      <c r="T74" s="227"/>
      <c r="U74" s="227"/>
      <c r="V74" s="227"/>
      <c r="W74" s="227"/>
      <c r="X74" s="227"/>
      <c r="Y74" s="227"/>
      <c r="Z74" s="227"/>
      <c r="AA74" s="228"/>
      <c r="AB74" s="227"/>
      <c r="AC74" s="227"/>
      <c r="AD74" s="227"/>
      <c r="AE74" s="227"/>
      <c r="AF74" s="227"/>
      <c r="AG74" s="227"/>
      <c r="AH74" s="227"/>
      <c r="AI74" s="227"/>
      <c r="AJ74" s="227"/>
      <c r="AK74" s="228"/>
      <c r="AL74" s="227"/>
      <c r="AM74" s="227"/>
      <c r="AN74" s="227"/>
      <c r="AO74" s="227"/>
      <c r="AP74" s="227"/>
      <c r="AQ74" s="227"/>
      <c r="AR74" s="227"/>
      <c r="AS74" s="227"/>
      <c r="AT74" s="227"/>
      <c r="AU74" s="228"/>
      <c r="AV74" s="227"/>
      <c r="AW74" s="227"/>
      <c r="AX74" s="227"/>
      <c r="AY74" s="227"/>
      <c r="AZ74" s="227"/>
      <c r="BA74" s="227"/>
      <c r="BB74" s="227"/>
      <c r="BC74" s="227"/>
      <c r="BD74" s="227"/>
      <c r="BE74" s="228"/>
      <c r="BF74" s="227"/>
      <c r="BG74" s="227"/>
      <c r="BH74" s="227"/>
      <c r="BI74" s="227"/>
      <c r="BJ74" s="227"/>
      <c r="BK74" s="227"/>
      <c r="BL74" s="227"/>
      <c r="BM74" s="227"/>
      <c r="BN74" s="227"/>
      <c r="BO74" s="228"/>
      <c r="BP74" s="227"/>
      <c r="BQ74" s="227"/>
      <c r="BR74" s="227"/>
      <c r="BS74" s="227"/>
      <c r="BT74" s="227"/>
      <c r="BU74" s="227"/>
      <c r="BV74" s="227"/>
      <c r="BW74" s="227"/>
      <c r="BX74" s="227"/>
      <c r="BY74" s="228"/>
      <c r="BZ74" s="227"/>
      <c r="CA74" s="227"/>
      <c r="CB74" s="227"/>
      <c r="CC74" s="227"/>
      <c r="CD74" s="227"/>
      <c r="CE74" s="227"/>
      <c r="CF74" s="227"/>
      <c r="CG74" s="227"/>
      <c r="CH74" s="227"/>
      <c r="CI74" s="228"/>
      <c r="CJ74" s="227"/>
      <c r="CK74" s="227"/>
      <c r="CL74" s="227"/>
      <c r="CM74" s="227"/>
      <c r="CN74" s="227"/>
      <c r="CO74" s="227"/>
      <c r="CP74" s="227"/>
      <c r="CQ74" s="227"/>
      <c r="CR74" s="227"/>
      <c r="CS74" s="228"/>
      <c r="CT74" s="227"/>
      <c r="CU74" s="227"/>
      <c r="CV74" s="227"/>
      <c r="CW74" s="227"/>
      <c r="CX74" s="227"/>
      <c r="CY74" s="227"/>
      <c r="CZ74" s="227"/>
      <c r="DA74" s="227"/>
      <c r="DB74" s="227"/>
      <c r="DC74" s="229"/>
    </row>
    <row r="75" spans="2:111" x14ac:dyDescent="0.2">
      <c r="B75" s="211"/>
      <c r="C75" s="609"/>
      <c r="D75" s="212" t="str">
        <f>'Technology Matrix'!B44</f>
        <v>Innovative/Alternative (I/A) Systems</v>
      </c>
      <c r="E75" s="253">
        <f>'Technology Matrix'!S44</f>
        <v>40</v>
      </c>
      <c r="F75" s="213">
        <f>'Technology Matrix'!T44</f>
        <v>60</v>
      </c>
      <c r="G75" s="215" t="str">
        <f>IF(AND(G$3&gt;=$E75,G$3&lt;=$F75),"T","F")</f>
        <v>F</v>
      </c>
      <c r="H75" s="214" t="str">
        <f t="shared" ref="H75:BS75" si="52">IF(AND(H$3&gt;=$E75,H$3&lt;=$F75),"T","F")</f>
        <v>F</v>
      </c>
      <c r="I75" s="214" t="str">
        <f t="shared" si="52"/>
        <v>F</v>
      </c>
      <c r="J75" s="214" t="str">
        <f t="shared" si="52"/>
        <v>F</v>
      </c>
      <c r="K75" s="214" t="str">
        <f t="shared" si="52"/>
        <v>F</v>
      </c>
      <c r="L75" s="214" t="str">
        <f t="shared" si="52"/>
        <v>F</v>
      </c>
      <c r="M75" s="214" t="str">
        <f t="shared" si="52"/>
        <v>F</v>
      </c>
      <c r="N75" s="214" t="str">
        <f t="shared" si="52"/>
        <v>F</v>
      </c>
      <c r="O75" s="214" t="str">
        <f t="shared" si="52"/>
        <v>F</v>
      </c>
      <c r="P75" s="214" t="str">
        <f t="shared" si="52"/>
        <v>F</v>
      </c>
      <c r="Q75" s="215" t="str">
        <f t="shared" si="52"/>
        <v>F</v>
      </c>
      <c r="R75" s="214" t="str">
        <f t="shared" si="52"/>
        <v>F</v>
      </c>
      <c r="S75" s="214" t="str">
        <f t="shared" si="52"/>
        <v>F</v>
      </c>
      <c r="T75" s="214" t="str">
        <f t="shared" si="52"/>
        <v>F</v>
      </c>
      <c r="U75" s="214" t="str">
        <f t="shared" si="52"/>
        <v>F</v>
      </c>
      <c r="V75" s="214" t="str">
        <f t="shared" si="52"/>
        <v>F</v>
      </c>
      <c r="W75" s="214" t="str">
        <f t="shared" si="52"/>
        <v>F</v>
      </c>
      <c r="X75" s="214" t="str">
        <f t="shared" si="52"/>
        <v>F</v>
      </c>
      <c r="Y75" s="214" t="str">
        <f t="shared" si="52"/>
        <v>F</v>
      </c>
      <c r="Z75" s="214" t="str">
        <f t="shared" si="52"/>
        <v>F</v>
      </c>
      <c r="AA75" s="215" t="str">
        <f t="shared" si="52"/>
        <v>F</v>
      </c>
      <c r="AB75" s="214" t="str">
        <f t="shared" si="52"/>
        <v>F</v>
      </c>
      <c r="AC75" s="214" t="str">
        <f t="shared" si="52"/>
        <v>F</v>
      </c>
      <c r="AD75" s="214" t="str">
        <f t="shared" si="52"/>
        <v>F</v>
      </c>
      <c r="AE75" s="214" t="str">
        <f t="shared" si="52"/>
        <v>F</v>
      </c>
      <c r="AF75" s="214" t="str">
        <f t="shared" si="52"/>
        <v>F</v>
      </c>
      <c r="AG75" s="214" t="str">
        <f t="shared" si="52"/>
        <v>F</v>
      </c>
      <c r="AH75" s="214" t="str">
        <f t="shared" si="52"/>
        <v>F</v>
      </c>
      <c r="AI75" s="214" t="str">
        <f t="shared" si="52"/>
        <v>F</v>
      </c>
      <c r="AJ75" s="214" t="str">
        <f t="shared" si="52"/>
        <v>F</v>
      </c>
      <c r="AK75" s="215" t="str">
        <f t="shared" si="52"/>
        <v>F</v>
      </c>
      <c r="AL75" s="214" t="str">
        <f t="shared" si="52"/>
        <v>F</v>
      </c>
      <c r="AM75" s="214" t="str">
        <f t="shared" si="52"/>
        <v>F</v>
      </c>
      <c r="AN75" s="214" t="str">
        <f t="shared" si="52"/>
        <v>F</v>
      </c>
      <c r="AO75" s="214" t="str">
        <f t="shared" si="52"/>
        <v>F</v>
      </c>
      <c r="AP75" s="214" t="str">
        <f t="shared" si="52"/>
        <v>F</v>
      </c>
      <c r="AQ75" s="214" t="str">
        <f t="shared" si="52"/>
        <v>F</v>
      </c>
      <c r="AR75" s="214" t="str">
        <f t="shared" si="52"/>
        <v>F</v>
      </c>
      <c r="AS75" s="214" t="str">
        <f t="shared" si="52"/>
        <v>F</v>
      </c>
      <c r="AT75" s="214" t="str">
        <f t="shared" si="52"/>
        <v>F</v>
      </c>
      <c r="AU75" s="215" t="str">
        <f t="shared" si="52"/>
        <v>T</v>
      </c>
      <c r="AV75" s="214" t="str">
        <f t="shared" si="52"/>
        <v>T</v>
      </c>
      <c r="AW75" s="214" t="str">
        <f t="shared" si="52"/>
        <v>T</v>
      </c>
      <c r="AX75" s="214" t="str">
        <f t="shared" si="52"/>
        <v>T</v>
      </c>
      <c r="AY75" s="214" t="str">
        <f t="shared" si="52"/>
        <v>T</v>
      </c>
      <c r="AZ75" s="214" t="str">
        <f t="shared" si="52"/>
        <v>T</v>
      </c>
      <c r="BA75" s="214" t="str">
        <f t="shared" si="52"/>
        <v>T</v>
      </c>
      <c r="BB75" s="214" t="str">
        <f t="shared" si="52"/>
        <v>T</v>
      </c>
      <c r="BC75" s="214" t="str">
        <f t="shared" si="52"/>
        <v>T</v>
      </c>
      <c r="BD75" s="214" t="str">
        <f t="shared" si="52"/>
        <v>T</v>
      </c>
      <c r="BE75" s="215" t="str">
        <f t="shared" si="52"/>
        <v>T</v>
      </c>
      <c r="BF75" s="214" t="str">
        <f t="shared" si="52"/>
        <v>T</v>
      </c>
      <c r="BG75" s="214" t="str">
        <f t="shared" si="52"/>
        <v>T</v>
      </c>
      <c r="BH75" s="214" t="str">
        <f t="shared" si="52"/>
        <v>T</v>
      </c>
      <c r="BI75" s="214" t="str">
        <f t="shared" si="52"/>
        <v>T</v>
      </c>
      <c r="BJ75" s="214" t="str">
        <f t="shared" si="52"/>
        <v>T</v>
      </c>
      <c r="BK75" s="214" t="str">
        <f t="shared" si="52"/>
        <v>T</v>
      </c>
      <c r="BL75" s="214" t="str">
        <f t="shared" si="52"/>
        <v>T</v>
      </c>
      <c r="BM75" s="214" t="str">
        <f t="shared" si="52"/>
        <v>T</v>
      </c>
      <c r="BN75" s="214" t="str">
        <f t="shared" si="52"/>
        <v>T</v>
      </c>
      <c r="BO75" s="215" t="str">
        <f t="shared" si="52"/>
        <v>T</v>
      </c>
      <c r="BP75" s="214" t="str">
        <f t="shared" si="52"/>
        <v>F</v>
      </c>
      <c r="BQ75" s="214" t="str">
        <f t="shared" si="52"/>
        <v>F</v>
      </c>
      <c r="BR75" s="214" t="str">
        <f t="shared" si="52"/>
        <v>F</v>
      </c>
      <c r="BS75" s="214" t="str">
        <f t="shared" si="52"/>
        <v>F</v>
      </c>
      <c r="BT75" s="214" t="str">
        <f t="shared" ref="BT75:DC75" si="53">IF(AND(BT$3&gt;=$E75,BT$3&lt;=$F75),"T","F")</f>
        <v>F</v>
      </c>
      <c r="BU75" s="214" t="str">
        <f t="shared" si="53"/>
        <v>F</v>
      </c>
      <c r="BV75" s="214" t="str">
        <f t="shared" si="53"/>
        <v>F</v>
      </c>
      <c r="BW75" s="214" t="str">
        <f t="shared" si="53"/>
        <v>F</v>
      </c>
      <c r="BX75" s="214" t="str">
        <f t="shared" si="53"/>
        <v>F</v>
      </c>
      <c r="BY75" s="215" t="str">
        <f t="shared" si="53"/>
        <v>F</v>
      </c>
      <c r="BZ75" s="214" t="str">
        <f t="shared" si="53"/>
        <v>F</v>
      </c>
      <c r="CA75" s="214" t="str">
        <f t="shared" si="53"/>
        <v>F</v>
      </c>
      <c r="CB75" s="214" t="str">
        <f t="shared" si="53"/>
        <v>F</v>
      </c>
      <c r="CC75" s="214" t="str">
        <f t="shared" si="53"/>
        <v>F</v>
      </c>
      <c r="CD75" s="214" t="str">
        <f t="shared" si="53"/>
        <v>F</v>
      </c>
      <c r="CE75" s="214" t="str">
        <f t="shared" si="53"/>
        <v>F</v>
      </c>
      <c r="CF75" s="214" t="str">
        <f t="shared" si="53"/>
        <v>F</v>
      </c>
      <c r="CG75" s="214" t="str">
        <f t="shared" si="53"/>
        <v>F</v>
      </c>
      <c r="CH75" s="214" t="str">
        <f t="shared" si="53"/>
        <v>F</v>
      </c>
      <c r="CI75" s="215" t="str">
        <f t="shared" si="53"/>
        <v>F</v>
      </c>
      <c r="CJ75" s="214" t="str">
        <f t="shared" si="53"/>
        <v>F</v>
      </c>
      <c r="CK75" s="214" t="str">
        <f t="shared" si="53"/>
        <v>F</v>
      </c>
      <c r="CL75" s="214" t="str">
        <f t="shared" si="53"/>
        <v>F</v>
      </c>
      <c r="CM75" s="214" t="str">
        <f t="shared" si="53"/>
        <v>F</v>
      </c>
      <c r="CN75" s="214" t="str">
        <f t="shared" si="53"/>
        <v>F</v>
      </c>
      <c r="CO75" s="214" t="str">
        <f t="shared" si="53"/>
        <v>F</v>
      </c>
      <c r="CP75" s="214" t="str">
        <f t="shared" si="53"/>
        <v>F</v>
      </c>
      <c r="CQ75" s="214" t="str">
        <f t="shared" si="53"/>
        <v>F</v>
      </c>
      <c r="CR75" s="214" t="str">
        <f t="shared" si="53"/>
        <v>F</v>
      </c>
      <c r="CS75" s="215" t="str">
        <f t="shared" si="53"/>
        <v>F</v>
      </c>
      <c r="CT75" s="214" t="str">
        <f t="shared" si="53"/>
        <v>F</v>
      </c>
      <c r="CU75" s="214" t="str">
        <f t="shared" si="53"/>
        <v>F</v>
      </c>
      <c r="CV75" s="214" t="str">
        <f t="shared" si="53"/>
        <v>F</v>
      </c>
      <c r="CW75" s="214" t="str">
        <f t="shared" si="53"/>
        <v>F</v>
      </c>
      <c r="CX75" s="214" t="str">
        <f t="shared" si="53"/>
        <v>F</v>
      </c>
      <c r="CY75" s="214" t="str">
        <f t="shared" si="53"/>
        <v>F</v>
      </c>
      <c r="CZ75" s="214" t="str">
        <f t="shared" si="53"/>
        <v>F</v>
      </c>
      <c r="DA75" s="214" t="str">
        <f t="shared" si="53"/>
        <v>F</v>
      </c>
      <c r="DB75" s="214" t="str">
        <f t="shared" si="53"/>
        <v>F</v>
      </c>
      <c r="DC75" s="216" t="str">
        <f t="shared" si="53"/>
        <v>F</v>
      </c>
    </row>
    <row r="76" spans="2:111" x14ac:dyDescent="0.2">
      <c r="B76" s="211"/>
      <c r="C76" s="609"/>
      <c r="D76" s="212"/>
      <c r="E76" s="253"/>
      <c r="F76" s="213"/>
      <c r="G76" s="226"/>
      <c r="H76" s="227"/>
      <c r="I76" s="227"/>
      <c r="J76" s="227"/>
      <c r="K76" s="227"/>
      <c r="L76" s="227"/>
      <c r="M76" s="227"/>
      <c r="N76" s="227"/>
      <c r="O76" s="227"/>
      <c r="P76" s="227"/>
      <c r="Q76" s="228"/>
      <c r="R76" s="227"/>
      <c r="S76" s="227"/>
      <c r="T76" s="227"/>
      <c r="U76" s="227"/>
      <c r="V76" s="227"/>
      <c r="W76" s="227"/>
      <c r="X76" s="227"/>
      <c r="Y76" s="227"/>
      <c r="Z76" s="227"/>
      <c r="AA76" s="228"/>
      <c r="AB76" s="227"/>
      <c r="AC76" s="227"/>
      <c r="AD76" s="227"/>
      <c r="AE76" s="227"/>
      <c r="AF76" s="227"/>
      <c r="AG76" s="227"/>
      <c r="AH76" s="227"/>
      <c r="AI76" s="227"/>
      <c r="AJ76" s="227"/>
      <c r="AK76" s="228"/>
      <c r="AL76" s="227"/>
      <c r="AM76" s="227"/>
      <c r="AN76" s="227"/>
      <c r="AO76" s="227"/>
      <c r="AP76" s="227"/>
      <c r="AQ76" s="227"/>
      <c r="AR76" s="227"/>
      <c r="AS76" s="227"/>
      <c r="AT76" s="227"/>
      <c r="AU76" s="228"/>
      <c r="AV76" s="227"/>
      <c r="AW76" s="227"/>
      <c r="AX76" s="227"/>
      <c r="AY76" s="227"/>
      <c r="AZ76" s="227"/>
      <c r="BA76" s="227"/>
      <c r="BB76" s="227"/>
      <c r="BC76" s="227"/>
      <c r="BD76" s="227"/>
      <c r="BE76" s="228"/>
      <c r="BF76" s="227"/>
      <c r="BG76" s="227"/>
      <c r="BH76" s="227"/>
      <c r="BI76" s="227"/>
      <c r="BJ76" s="227"/>
      <c r="BK76" s="227"/>
      <c r="BL76" s="227"/>
      <c r="BM76" s="227"/>
      <c r="BN76" s="227"/>
      <c r="BO76" s="228"/>
      <c r="BP76" s="227"/>
      <c r="BQ76" s="227"/>
      <c r="BR76" s="227"/>
      <c r="BS76" s="227"/>
      <c r="BT76" s="227"/>
      <c r="BU76" s="227"/>
      <c r="BV76" s="227"/>
      <c r="BW76" s="227"/>
      <c r="BX76" s="227"/>
      <c r="BY76" s="228"/>
      <c r="BZ76" s="227"/>
      <c r="CA76" s="227"/>
      <c r="CB76" s="227"/>
      <c r="CC76" s="227"/>
      <c r="CD76" s="227"/>
      <c r="CE76" s="227"/>
      <c r="CF76" s="227"/>
      <c r="CG76" s="227"/>
      <c r="CH76" s="227"/>
      <c r="CI76" s="228"/>
      <c r="CJ76" s="227"/>
      <c r="CK76" s="227"/>
      <c r="CL76" s="227"/>
      <c r="CM76" s="227"/>
      <c r="CN76" s="227"/>
      <c r="CO76" s="227"/>
      <c r="CP76" s="227"/>
      <c r="CQ76" s="227"/>
      <c r="CR76" s="227"/>
      <c r="CS76" s="228"/>
      <c r="CT76" s="227"/>
      <c r="CU76" s="227"/>
      <c r="CV76" s="227"/>
      <c r="CW76" s="227"/>
      <c r="CX76" s="227"/>
      <c r="CY76" s="227"/>
      <c r="CZ76" s="227"/>
      <c r="DA76" s="227"/>
      <c r="DB76" s="227"/>
      <c r="DC76" s="229"/>
    </row>
    <row r="77" spans="2:111" x14ac:dyDescent="0.2">
      <c r="B77" s="211"/>
      <c r="C77" s="609"/>
      <c r="D77" s="212" t="str">
        <f>'Technology Matrix'!B45</f>
        <v>Innovative/Alternative (I/A) Enhanced Systems</v>
      </c>
      <c r="E77" s="253">
        <f>'Technology Matrix'!S45</f>
        <v>70</v>
      </c>
      <c r="F77" s="213">
        <f>'Technology Matrix'!T45</f>
        <v>80</v>
      </c>
      <c r="G77" s="215" t="str">
        <f>IF(AND(G$3&gt;=$E77,G$3&lt;=$F77),"T","F")</f>
        <v>F</v>
      </c>
      <c r="H77" s="214" t="str">
        <f t="shared" ref="H77:BS77" si="54">IF(AND(H$3&gt;=$E77,H$3&lt;=$F77),"T","F")</f>
        <v>F</v>
      </c>
      <c r="I77" s="214" t="str">
        <f t="shared" si="54"/>
        <v>F</v>
      </c>
      <c r="J77" s="214" t="str">
        <f t="shared" si="54"/>
        <v>F</v>
      </c>
      <c r="K77" s="214" t="str">
        <f t="shared" si="54"/>
        <v>F</v>
      </c>
      <c r="L77" s="214" t="str">
        <f t="shared" si="54"/>
        <v>F</v>
      </c>
      <c r="M77" s="214" t="str">
        <f t="shared" si="54"/>
        <v>F</v>
      </c>
      <c r="N77" s="214" t="str">
        <f t="shared" si="54"/>
        <v>F</v>
      </c>
      <c r="O77" s="214" t="str">
        <f t="shared" si="54"/>
        <v>F</v>
      </c>
      <c r="P77" s="214" t="str">
        <f t="shared" si="54"/>
        <v>F</v>
      </c>
      <c r="Q77" s="215" t="str">
        <f t="shared" si="54"/>
        <v>F</v>
      </c>
      <c r="R77" s="214" t="str">
        <f t="shared" si="54"/>
        <v>F</v>
      </c>
      <c r="S77" s="214" t="str">
        <f t="shared" si="54"/>
        <v>F</v>
      </c>
      <c r="T77" s="214" t="str">
        <f t="shared" si="54"/>
        <v>F</v>
      </c>
      <c r="U77" s="214" t="str">
        <f t="shared" si="54"/>
        <v>F</v>
      </c>
      <c r="V77" s="214" t="str">
        <f t="shared" si="54"/>
        <v>F</v>
      </c>
      <c r="W77" s="214" t="str">
        <f t="shared" si="54"/>
        <v>F</v>
      </c>
      <c r="X77" s="214" t="str">
        <f t="shared" si="54"/>
        <v>F</v>
      </c>
      <c r="Y77" s="214" t="str">
        <f t="shared" si="54"/>
        <v>F</v>
      </c>
      <c r="Z77" s="214" t="str">
        <f t="shared" si="54"/>
        <v>F</v>
      </c>
      <c r="AA77" s="215" t="str">
        <f t="shared" si="54"/>
        <v>F</v>
      </c>
      <c r="AB77" s="214" t="str">
        <f t="shared" si="54"/>
        <v>F</v>
      </c>
      <c r="AC77" s="214" t="str">
        <f t="shared" si="54"/>
        <v>F</v>
      </c>
      <c r="AD77" s="214" t="str">
        <f t="shared" si="54"/>
        <v>F</v>
      </c>
      <c r="AE77" s="214" t="str">
        <f t="shared" si="54"/>
        <v>F</v>
      </c>
      <c r="AF77" s="214" t="str">
        <f t="shared" si="54"/>
        <v>F</v>
      </c>
      <c r="AG77" s="214" t="str">
        <f t="shared" si="54"/>
        <v>F</v>
      </c>
      <c r="AH77" s="214" t="str">
        <f t="shared" si="54"/>
        <v>F</v>
      </c>
      <c r="AI77" s="214" t="str">
        <f t="shared" si="54"/>
        <v>F</v>
      </c>
      <c r="AJ77" s="214" t="str">
        <f t="shared" si="54"/>
        <v>F</v>
      </c>
      <c r="AK77" s="215" t="str">
        <f t="shared" si="54"/>
        <v>F</v>
      </c>
      <c r="AL77" s="214" t="str">
        <f t="shared" si="54"/>
        <v>F</v>
      </c>
      <c r="AM77" s="214" t="str">
        <f t="shared" si="54"/>
        <v>F</v>
      </c>
      <c r="AN77" s="214" t="str">
        <f t="shared" si="54"/>
        <v>F</v>
      </c>
      <c r="AO77" s="214" t="str">
        <f t="shared" si="54"/>
        <v>F</v>
      </c>
      <c r="AP77" s="214" t="str">
        <f t="shared" si="54"/>
        <v>F</v>
      </c>
      <c r="AQ77" s="214" t="str">
        <f t="shared" si="54"/>
        <v>F</v>
      </c>
      <c r="AR77" s="214" t="str">
        <f t="shared" si="54"/>
        <v>F</v>
      </c>
      <c r="AS77" s="214" t="str">
        <f t="shared" si="54"/>
        <v>F</v>
      </c>
      <c r="AT77" s="214" t="str">
        <f t="shared" si="54"/>
        <v>F</v>
      </c>
      <c r="AU77" s="215" t="str">
        <f t="shared" si="54"/>
        <v>F</v>
      </c>
      <c r="AV77" s="214" t="str">
        <f t="shared" si="54"/>
        <v>F</v>
      </c>
      <c r="AW77" s="214" t="str">
        <f t="shared" si="54"/>
        <v>F</v>
      </c>
      <c r="AX77" s="214" t="str">
        <f t="shared" si="54"/>
        <v>F</v>
      </c>
      <c r="AY77" s="214" t="str">
        <f t="shared" si="54"/>
        <v>F</v>
      </c>
      <c r="AZ77" s="214" t="str">
        <f t="shared" si="54"/>
        <v>F</v>
      </c>
      <c r="BA77" s="214" t="str">
        <f t="shared" si="54"/>
        <v>F</v>
      </c>
      <c r="BB77" s="214" t="str">
        <f t="shared" si="54"/>
        <v>F</v>
      </c>
      <c r="BC77" s="214" t="str">
        <f t="shared" si="54"/>
        <v>F</v>
      </c>
      <c r="BD77" s="214" t="str">
        <f t="shared" si="54"/>
        <v>F</v>
      </c>
      <c r="BE77" s="215" t="str">
        <f t="shared" si="54"/>
        <v>F</v>
      </c>
      <c r="BF77" s="214" t="str">
        <f t="shared" si="54"/>
        <v>F</v>
      </c>
      <c r="BG77" s="214" t="str">
        <f t="shared" si="54"/>
        <v>F</v>
      </c>
      <c r="BH77" s="214" t="str">
        <f t="shared" si="54"/>
        <v>F</v>
      </c>
      <c r="BI77" s="214" t="str">
        <f t="shared" si="54"/>
        <v>F</v>
      </c>
      <c r="BJ77" s="214" t="str">
        <f t="shared" si="54"/>
        <v>F</v>
      </c>
      <c r="BK77" s="214" t="str">
        <f t="shared" si="54"/>
        <v>F</v>
      </c>
      <c r="BL77" s="214" t="str">
        <f t="shared" si="54"/>
        <v>F</v>
      </c>
      <c r="BM77" s="214" t="str">
        <f t="shared" si="54"/>
        <v>F</v>
      </c>
      <c r="BN77" s="214" t="str">
        <f t="shared" si="54"/>
        <v>F</v>
      </c>
      <c r="BO77" s="215" t="str">
        <f t="shared" si="54"/>
        <v>F</v>
      </c>
      <c r="BP77" s="214" t="str">
        <f t="shared" si="54"/>
        <v>F</v>
      </c>
      <c r="BQ77" s="214" t="str">
        <f t="shared" si="54"/>
        <v>F</v>
      </c>
      <c r="BR77" s="214" t="str">
        <f t="shared" si="54"/>
        <v>F</v>
      </c>
      <c r="BS77" s="214" t="str">
        <f t="shared" si="54"/>
        <v>F</v>
      </c>
      <c r="BT77" s="214" t="str">
        <f t="shared" ref="BT77:DC77" si="55">IF(AND(BT$3&gt;=$E77,BT$3&lt;=$F77),"T","F")</f>
        <v>F</v>
      </c>
      <c r="BU77" s="214" t="str">
        <f t="shared" si="55"/>
        <v>F</v>
      </c>
      <c r="BV77" s="214" t="str">
        <f t="shared" si="55"/>
        <v>F</v>
      </c>
      <c r="BW77" s="214" t="str">
        <f t="shared" si="55"/>
        <v>F</v>
      </c>
      <c r="BX77" s="214" t="str">
        <f t="shared" si="55"/>
        <v>F</v>
      </c>
      <c r="BY77" s="215" t="str">
        <f t="shared" si="55"/>
        <v>T</v>
      </c>
      <c r="BZ77" s="214" t="str">
        <f t="shared" si="55"/>
        <v>T</v>
      </c>
      <c r="CA77" s="214" t="str">
        <f t="shared" si="55"/>
        <v>T</v>
      </c>
      <c r="CB77" s="214" t="str">
        <f t="shared" si="55"/>
        <v>T</v>
      </c>
      <c r="CC77" s="214" t="str">
        <f t="shared" si="55"/>
        <v>T</v>
      </c>
      <c r="CD77" s="214" t="str">
        <f t="shared" si="55"/>
        <v>T</v>
      </c>
      <c r="CE77" s="214" t="str">
        <f t="shared" si="55"/>
        <v>T</v>
      </c>
      <c r="CF77" s="214" t="str">
        <f t="shared" si="55"/>
        <v>T</v>
      </c>
      <c r="CG77" s="214" t="str">
        <f t="shared" si="55"/>
        <v>T</v>
      </c>
      <c r="CH77" s="214" t="str">
        <f t="shared" si="55"/>
        <v>T</v>
      </c>
      <c r="CI77" s="215" t="str">
        <f t="shared" si="55"/>
        <v>T</v>
      </c>
      <c r="CJ77" s="214" t="str">
        <f t="shared" si="55"/>
        <v>F</v>
      </c>
      <c r="CK77" s="214" t="str">
        <f t="shared" si="55"/>
        <v>F</v>
      </c>
      <c r="CL77" s="214" t="str">
        <f t="shared" si="55"/>
        <v>F</v>
      </c>
      <c r="CM77" s="214" t="str">
        <f t="shared" si="55"/>
        <v>F</v>
      </c>
      <c r="CN77" s="214" t="str">
        <f t="shared" si="55"/>
        <v>F</v>
      </c>
      <c r="CO77" s="214" t="str">
        <f t="shared" si="55"/>
        <v>F</v>
      </c>
      <c r="CP77" s="214" t="str">
        <f t="shared" si="55"/>
        <v>F</v>
      </c>
      <c r="CQ77" s="214" t="str">
        <f t="shared" si="55"/>
        <v>F</v>
      </c>
      <c r="CR77" s="214" t="str">
        <f t="shared" si="55"/>
        <v>F</v>
      </c>
      <c r="CS77" s="215" t="str">
        <f t="shared" si="55"/>
        <v>F</v>
      </c>
      <c r="CT77" s="214" t="str">
        <f t="shared" si="55"/>
        <v>F</v>
      </c>
      <c r="CU77" s="214" t="str">
        <f t="shared" si="55"/>
        <v>F</v>
      </c>
      <c r="CV77" s="214" t="str">
        <f t="shared" si="55"/>
        <v>F</v>
      </c>
      <c r="CW77" s="214" t="str">
        <f t="shared" si="55"/>
        <v>F</v>
      </c>
      <c r="CX77" s="214" t="str">
        <f t="shared" si="55"/>
        <v>F</v>
      </c>
      <c r="CY77" s="214" t="str">
        <f t="shared" si="55"/>
        <v>F</v>
      </c>
      <c r="CZ77" s="214" t="str">
        <f t="shared" si="55"/>
        <v>F</v>
      </c>
      <c r="DA77" s="214" t="str">
        <f t="shared" si="55"/>
        <v>F</v>
      </c>
      <c r="DB77" s="214" t="str">
        <f t="shared" si="55"/>
        <v>F</v>
      </c>
      <c r="DC77" s="216" t="str">
        <f t="shared" si="55"/>
        <v>F</v>
      </c>
    </row>
    <row r="78" spans="2:111" x14ac:dyDescent="0.2">
      <c r="B78" s="211"/>
      <c r="C78" s="609"/>
      <c r="D78" s="212"/>
      <c r="E78" s="253"/>
      <c r="F78" s="213"/>
      <c r="G78" s="226"/>
      <c r="H78" s="227"/>
      <c r="I78" s="227"/>
      <c r="J78" s="227"/>
      <c r="K78" s="227"/>
      <c r="L78" s="227"/>
      <c r="M78" s="227"/>
      <c r="N78" s="227"/>
      <c r="O78" s="227"/>
      <c r="P78" s="227"/>
      <c r="Q78" s="228"/>
      <c r="R78" s="227"/>
      <c r="S78" s="227"/>
      <c r="T78" s="227"/>
      <c r="U78" s="227"/>
      <c r="V78" s="227"/>
      <c r="W78" s="227"/>
      <c r="X78" s="227"/>
      <c r="Y78" s="227"/>
      <c r="Z78" s="227"/>
      <c r="AA78" s="228"/>
      <c r="AB78" s="227"/>
      <c r="AC78" s="227"/>
      <c r="AD78" s="227"/>
      <c r="AE78" s="227"/>
      <c r="AF78" s="227"/>
      <c r="AG78" s="227"/>
      <c r="AH78" s="227"/>
      <c r="AI78" s="227"/>
      <c r="AJ78" s="227"/>
      <c r="AK78" s="228"/>
      <c r="AL78" s="227"/>
      <c r="AM78" s="227"/>
      <c r="AN78" s="227"/>
      <c r="AO78" s="227"/>
      <c r="AP78" s="227"/>
      <c r="AQ78" s="227"/>
      <c r="AR78" s="227"/>
      <c r="AS78" s="227"/>
      <c r="AT78" s="227"/>
      <c r="AU78" s="228"/>
      <c r="AV78" s="227"/>
      <c r="AW78" s="227"/>
      <c r="AX78" s="227"/>
      <c r="AY78" s="227"/>
      <c r="AZ78" s="227"/>
      <c r="BA78" s="227"/>
      <c r="BB78" s="227"/>
      <c r="BC78" s="227"/>
      <c r="BD78" s="227"/>
      <c r="BE78" s="228"/>
      <c r="BF78" s="227"/>
      <c r="BG78" s="227"/>
      <c r="BH78" s="227"/>
      <c r="BI78" s="227"/>
      <c r="BJ78" s="227"/>
      <c r="BK78" s="227"/>
      <c r="BL78" s="227"/>
      <c r="BM78" s="227"/>
      <c r="BN78" s="227"/>
      <c r="BO78" s="228"/>
      <c r="BP78" s="227"/>
      <c r="BQ78" s="227"/>
      <c r="BR78" s="227"/>
      <c r="BS78" s="227"/>
      <c r="BT78" s="227"/>
      <c r="BU78" s="227"/>
      <c r="BV78" s="227"/>
      <c r="BW78" s="227"/>
      <c r="BX78" s="227"/>
      <c r="BY78" s="228"/>
      <c r="BZ78" s="227"/>
      <c r="CA78" s="227"/>
      <c r="CB78" s="227"/>
      <c r="CC78" s="227"/>
      <c r="CD78" s="227"/>
      <c r="CE78" s="227"/>
      <c r="CF78" s="227"/>
      <c r="CG78" s="227"/>
      <c r="CH78" s="227"/>
      <c r="CI78" s="228"/>
      <c r="CJ78" s="227"/>
      <c r="CK78" s="227"/>
      <c r="CL78" s="227"/>
      <c r="CM78" s="227"/>
      <c r="CN78" s="227"/>
      <c r="CO78" s="227"/>
      <c r="CP78" s="227"/>
      <c r="CQ78" s="227"/>
      <c r="CR78" s="227"/>
      <c r="CS78" s="228"/>
      <c r="CT78" s="227"/>
      <c r="CU78" s="227"/>
      <c r="CV78" s="227"/>
      <c r="CW78" s="227"/>
      <c r="CX78" s="227"/>
      <c r="CY78" s="227"/>
      <c r="CZ78" s="227"/>
      <c r="DA78" s="227"/>
      <c r="DB78" s="227"/>
      <c r="DC78" s="229"/>
    </row>
    <row r="79" spans="2:111" x14ac:dyDescent="0.2">
      <c r="B79" s="211"/>
      <c r="C79" s="609"/>
      <c r="D79" s="212" t="str">
        <f>'Technology Matrix'!B46</f>
        <v>Cluster Treatment System - Single-stage</v>
      </c>
      <c r="E79" s="253">
        <f>'Technology Matrix'!S46</f>
        <v>55</v>
      </c>
      <c r="F79" s="213">
        <f>'Technology Matrix'!T46</f>
        <v>70</v>
      </c>
      <c r="G79" s="215" t="str">
        <f>IF(AND(G$3&gt;=$E79,G$3&lt;=$F79),"T","F")</f>
        <v>F</v>
      </c>
      <c r="H79" s="214" t="str">
        <f t="shared" ref="H79:BS79" si="56">IF(AND(H$3&gt;=$E79,H$3&lt;=$F79),"T","F")</f>
        <v>F</v>
      </c>
      <c r="I79" s="214" t="str">
        <f t="shared" si="56"/>
        <v>F</v>
      </c>
      <c r="J79" s="214" t="str">
        <f t="shared" si="56"/>
        <v>F</v>
      </c>
      <c r="K79" s="214" t="str">
        <f t="shared" si="56"/>
        <v>F</v>
      </c>
      <c r="L79" s="214" t="str">
        <f t="shared" si="56"/>
        <v>F</v>
      </c>
      <c r="M79" s="214" t="str">
        <f t="shared" si="56"/>
        <v>F</v>
      </c>
      <c r="N79" s="214" t="str">
        <f t="shared" si="56"/>
        <v>F</v>
      </c>
      <c r="O79" s="214" t="str">
        <f t="shared" si="56"/>
        <v>F</v>
      </c>
      <c r="P79" s="214" t="str">
        <f t="shared" si="56"/>
        <v>F</v>
      </c>
      <c r="Q79" s="215" t="str">
        <f t="shared" si="56"/>
        <v>F</v>
      </c>
      <c r="R79" s="214" t="str">
        <f t="shared" si="56"/>
        <v>F</v>
      </c>
      <c r="S79" s="214" t="str">
        <f t="shared" si="56"/>
        <v>F</v>
      </c>
      <c r="T79" s="214" t="str">
        <f t="shared" si="56"/>
        <v>F</v>
      </c>
      <c r="U79" s="214" t="str">
        <f t="shared" si="56"/>
        <v>F</v>
      </c>
      <c r="V79" s="214" t="str">
        <f t="shared" si="56"/>
        <v>F</v>
      </c>
      <c r="W79" s="214" t="str">
        <f t="shared" si="56"/>
        <v>F</v>
      </c>
      <c r="X79" s="214" t="str">
        <f t="shared" si="56"/>
        <v>F</v>
      </c>
      <c r="Y79" s="214" t="str">
        <f t="shared" si="56"/>
        <v>F</v>
      </c>
      <c r="Z79" s="214" t="str">
        <f t="shared" si="56"/>
        <v>F</v>
      </c>
      <c r="AA79" s="215" t="str">
        <f t="shared" si="56"/>
        <v>F</v>
      </c>
      <c r="AB79" s="214" t="str">
        <f t="shared" si="56"/>
        <v>F</v>
      </c>
      <c r="AC79" s="214" t="str">
        <f t="shared" si="56"/>
        <v>F</v>
      </c>
      <c r="AD79" s="214" t="str">
        <f t="shared" si="56"/>
        <v>F</v>
      </c>
      <c r="AE79" s="214" t="str">
        <f t="shared" si="56"/>
        <v>F</v>
      </c>
      <c r="AF79" s="214" t="str">
        <f t="shared" si="56"/>
        <v>F</v>
      </c>
      <c r="AG79" s="214" t="str">
        <f t="shared" si="56"/>
        <v>F</v>
      </c>
      <c r="AH79" s="214" t="str">
        <f t="shared" si="56"/>
        <v>F</v>
      </c>
      <c r="AI79" s="214" t="str">
        <f t="shared" si="56"/>
        <v>F</v>
      </c>
      <c r="AJ79" s="214" t="str">
        <f t="shared" si="56"/>
        <v>F</v>
      </c>
      <c r="AK79" s="215" t="str">
        <f t="shared" si="56"/>
        <v>F</v>
      </c>
      <c r="AL79" s="214" t="str">
        <f t="shared" si="56"/>
        <v>F</v>
      </c>
      <c r="AM79" s="214" t="str">
        <f t="shared" si="56"/>
        <v>F</v>
      </c>
      <c r="AN79" s="214" t="str">
        <f t="shared" si="56"/>
        <v>F</v>
      </c>
      <c r="AO79" s="214" t="str">
        <f t="shared" si="56"/>
        <v>F</v>
      </c>
      <c r="AP79" s="214" t="str">
        <f t="shared" si="56"/>
        <v>F</v>
      </c>
      <c r="AQ79" s="214" t="str">
        <f t="shared" si="56"/>
        <v>F</v>
      </c>
      <c r="AR79" s="214" t="str">
        <f t="shared" si="56"/>
        <v>F</v>
      </c>
      <c r="AS79" s="214" t="str">
        <f t="shared" si="56"/>
        <v>F</v>
      </c>
      <c r="AT79" s="214" t="str">
        <f t="shared" si="56"/>
        <v>F</v>
      </c>
      <c r="AU79" s="215" t="str">
        <f t="shared" si="56"/>
        <v>F</v>
      </c>
      <c r="AV79" s="214" t="str">
        <f t="shared" si="56"/>
        <v>F</v>
      </c>
      <c r="AW79" s="214" t="str">
        <f t="shared" si="56"/>
        <v>F</v>
      </c>
      <c r="AX79" s="214" t="str">
        <f t="shared" si="56"/>
        <v>F</v>
      </c>
      <c r="AY79" s="214" t="str">
        <f t="shared" si="56"/>
        <v>F</v>
      </c>
      <c r="AZ79" s="214" t="str">
        <f t="shared" si="56"/>
        <v>F</v>
      </c>
      <c r="BA79" s="214" t="str">
        <f t="shared" si="56"/>
        <v>F</v>
      </c>
      <c r="BB79" s="214" t="str">
        <f t="shared" si="56"/>
        <v>F</v>
      </c>
      <c r="BC79" s="214" t="str">
        <f t="shared" si="56"/>
        <v>F</v>
      </c>
      <c r="BD79" s="214" t="str">
        <f t="shared" si="56"/>
        <v>F</v>
      </c>
      <c r="BE79" s="215" t="str">
        <f t="shared" si="56"/>
        <v>F</v>
      </c>
      <c r="BF79" s="214" t="str">
        <f t="shared" si="56"/>
        <v>F</v>
      </c>
      <c r="BG79" s="214" t="str">
        <f t="shared" si="56"/>
        <v>F</v>
      </c>
      <c r="BH79" s="214" t="str">
        <f t="shared" si="56"/>
        <v>F</v>
      </c>
      <c r="BI79" s="214" t="str">
        <f t="shared" si="56"/>
        <v>F</v>
      </c>
      <c r="BJ79" s="214" t="str">
        <f t="shared" si="56"/>
        <v>T</v>
      </c>
      <c r="BK79" s="214" t="str">
        <f t="shared" si="56"/>
        <v>T</v>
      </c>
      <c r="BL79" s="214" t="str">
        <f t="shared" si="56"/>
        <v>T</v>
      </c>
      <c r="BM79" s="214" t="str">
        <f t="shared" si="56"/>
        <v>T</v>
      </c>
      <c r="BN79" s="214" t="str">
        <f t="shared" si="56"/>
        <v>T</v>
      </c>
      <c r="BO79" s="215" t="str">
        <f t="shared" si="56"/>
        <v>T</v>
      </c>
      <c r="BP79" s="214" t="str">
        <f t="shared" si="56"/>
        <v>T</v>
      </c>
      <c r="BQ79" s="214" t="str">
        <f t="shared" si="56"/>
        <v>T</v>
      </c>
      <c r="BR79" s="214" t="str">
        <f t="shared" si="56"/>
        <v>T</v>
      </c>
      <c r="BS79" s="214" t="str">
        <f t="shared" si="56"/>
        <v>T</v>
      </c>
      <c r="BT79" s="214" t="str">
        <f t="shared" ref="BT79:DC79" si="57">IF(AND(BT$3&gt;=$E79,BT$3&lt;=$F79),"T","F")</f>
        <v>T</v>
      </c>
      <c r="BU79" s="214" t="str">
        <f t="shared" si="57"/>
        <v>T</v>
      </c>
      <c r="BV79" s="214" t="str">
        <f t="shared" si="57"/>
        <v>T</v>
      </c>
      <c r="BW79" s="214" t="str">
        <f t="shared" si="57"/>
        <v>T</v>
      </c>
      <c r="BX79" s="214" t="str">
        <f t="shared" si="57"/>
        <v>T</v>
      </c>
      <c r="BY79" s="215" t="str">
        <f t="shared" si="57"/>
        <v>T</v>
      </c>
      <c r="BZ79" s="214" t="str">
        <f t="shared" si="57"/>
        <v>F</v>
      </c>
      <c r="CA79" s="214" t="str">
        <f t="shared" si="57"/>
        <v>F</v>
      </c>
      <c r="CB79" s="214" t="str">
        <f t="shared" si="57"/>
        <v>F</v>
      </c>
      <c r="CC79" s="214" t="str">
        <f t="shared" si="57"/>
        <v>F</v>
      </c>
      <c r="CD79" s="214" t="str">
        <f t="shared" si="57"/>
        <v>F</v>
      </c>
      <c r="CE79" s="214" t="str">
        <f t="shared" si="57"/>
        <v>F</v>
      </c>
      <c r="CF79" s="214" t="str">
        <f t="shared" si="57"/>
        <v>F</v>
      </c>
      <c r="CG79" s="214" t="str">
        <f t="shared" si="57"/>
        <v>F</v>
      </c>
      <c r="CH79" s="214" t="str">
        <f t="shared" si="57"/>
        <v>F</v>
      </c>
      <c r="CI79" s="215" t="str">
        <f t="shared" si="57"/>
        <v>F</v>
      </c>
      <c r="CJ79" s="214" t="str">
        <f t="shared" si="57"/>
        <v>F</v>
      </c>
      <c r="CK79" s="214" t="str">
        <f t="shared" si="57"/>
        <v>F</v>
      </c>
      <c r="CL79" s="214" t="str">
        <f t="shared" si="57"/>
        <v>F</v>
      </c>
      <c r="CM79" s="214" t="str">
        <f t="shared" si="57"/>
        <v>F</v>
      </c>
      <c r="CN79" s="214" t="str">
        <f t="shared" si="57"/>
        <v>F</v>
      </c>
      <c r="CO79" s="214" t="str">
        <f t="shared" si="57"/>
        <v>F</v>
      </c>
      <c r="CP79" s="214" t="str">
        <f t="shared" si="57"/>
        <v>F</v>
      </c>
      <c r="CQ79" s="214" t="str">
        <f t="shared" si="57"/>
        <v>F</v>
      </c>
      <c r="CR79" s="214" t="str">
        <f t="shared" si="57"/>
        <v>F</v>
      </c>
      <c r="CS79" s="215" t="str">
        <f t="shared" si="57"/>
        <v>F</v>
      </c>
      <c r="CT79" s="214" t="str">
        <f t="shared" si="57"/>
        <v>F</v>
      </c>
      <c r="CU79" s="214" t="str">
        <f t="shared" si="57"/>
        <v>F</v>
      </c>
      <c r="CV79" s="214" t="str">
        <f t="shared" si="57"/>
        <v>F</v>
      </c>
      <c r="CW79" s="214" t="str">
        <f t="shared" si="57"/>
        <v>F</v>
      </c>
      <c r="CX79" s="214" t="str">
        <f t="shared" si="57"/>
        <v>F</v>
      </c>
      <c r="CY79" s="214" t="str">
        <f t="shared" si="57"/>
        <v>F</v>
      </c>
      <c r="CZ79" s="214" t="str">
        <f t="shared" si="57"/>
        <v>F</v>
      </c>
      <c r="DA79" s="214" t="str">
        <f t="shared" si="57"/>
        <v>F</v>
      </c>
      <c r="DB79" s="214" t="str">
        <f t="shared" si="57"/>
        <v>F</v>
      </c>
      <c r="DC79" s="216" t="str">
        <f t="shared" si="57"/>
        <v>F</v>
      </c>
    </row>
    <row r="80" spans="2:111" x14ac:dyDescent="0.2">
      <c r="B80" s="211"/>
      <c r="C80" s="609"/>
      <c r="D80" s="212"/>
      <c r="E80" s="253"/>
      <c r="F80" s="213"/>
      <c r="G80" s="226"/>
      <c r="H80" s="227"/>
      <c r="I80" s="227"/>
      <c r="J80" s="227"/>
      <c r="K80" s="227"/>
      <c r="L80" s="227"/>
      <c r="M80" s="227"/>
      <c r="N80" s="227"/>
      <c r="O80" s="227"/>
      <c r="P80" s="227"/>
      <c r="Q80" s="228"/>
      <c r="R80" s="227"/>
      <c r="S80" s="227"/>
      <c r="T80" s="227"/>
      <c r="U80" s="227"/>
      <c r="V80" s="227"/>
      <c r="W80" s="227"/>
      <c r="X80" s="227"/>
      <c r="Y80" s="227"/>
      <c r="Z80" s="227"/>
      <c r="AA80" s="228"/>
      <c r="AB80" s="227"/>
      <c r="AC80" s="227"/>
      <c r="AD80" s="227"/>
      <c r="AE80" s="227"/>
      <c r="AF80" s="227"/>
      <c r="AG80" s="227"/>
      <c r="AH80" s="227"/>
      <c r="AI80" s="227"/>
      <c r="AJ80" s="227"/>
      <c r="AK80" s="228"/>
      <c r="AL80" s="227"/>
      <c r="AM80" s="227"/>
      <c r="AN80" s="227"/>
      <c r="AO80" s="227"/>
      <c r="AP80" s="227"/>
      <c r="AQ80" s="227"/>
      <c r="AR80" s="227"/>
      <c r="AS80" s="227"/>
      <c r="AT80" s="227"/>
      <c r="AU80" s="228"/>
      <c r="AV80" s="227"/>
      <c r="AW80" s="227"/>
      <c r="AX80" s="227"/>
      <c r="AY80" s="227"/>
      <c r="AZ80" s="227"/>
      <c r="BA80" s="227"/>
      <c r="BB80" s="227"/>
      <c r="BC80" s="227"/>
      <c r="BD80" s="227"/>
      <c r="BE80" s="228"/>
      <c r="BF80" s="227"/>
      <c r="BG80" s="227"/>
      <c r="BH80" s="227"/>
      <c r="BI80" s="227"/>
      <c r="BJ80" s="227"/>
      <c r="BK80" s="227"/>
      <c r="BL80" s="227"/>
      <c r="BM80" s="227"/>
      <c r="BN80" s="227"/>
      <c r="BO80" s="228"/>
      <c r="BP80" s="227"/>
      <c r="BQ80" s="227"/>
      <c r="BR80" s="227"/>
      <c r="BS80" s="227"/>
      <c r="BT80" s="227"/>
      <c r="BU80" s="227"/>
      <c r="BV80" s="227"/>
      <c r="BW80" s="227"/>
      <c r="BX80" s="227"/>
      <c r="BY80" s="228"/>
      <c r="BZ80" s="227"/>
      <c r="CA80" s="227"/>
      <c r="CB80" s="227"/>
      <c r="CC80" s="227"/>
      <c r="CD80" s="227"/>
      <c r="CE80" s="227"/>
      <c r="CF80" s="227"/>
      <c r="CG80" s="227"/>
      <c r="CH80" s="227"/>
      <c r="CI80" s="228"/>
      <c r="CJ80" s="227"/>
      <c r="CK80" s="227"/>
      <c r="CL80" s="227"/>
      <c r="CM80" s="227"/>
      <c r="CN80" s="227"/>
      <c r="CO80" s="227"/>
      <c r="CP80" s="227"/>
      <c r="CQ80" s="227"/>
      <c r="CR80" s="227"/>
      <c r="CS80" s="228"/>
      <c r="CT80" s="227"/>
      <c r="CU80" s="227"/>
      <c r="CV80" s="227"/>
      <c r="CW80" s="227"/>
      <c r="CX80" s="227"/>
      <c r="CY80" s="227"/>
      <c r="CZ80" s="227"/>
      <c r="DA80" s="227"/>
      <c r="DB80" s="227"/>
      <c r="DC80" s="229"/>
    </row>
    <row r="81" spans="2:107" x14ac:dyDescent="0.2">
      <c r="B81" s="211"/>
      <c r="C81" s="609"/>
      <c r="D81" s="212" t="str">
        <f>'Technology Matrix'!B47</f>
        <v xml:space="preserve">Cluster Treatment System - Two-stage </v>
      </c>
      <c r="E81" s="253">
        <f>'Technology Matrix'!S47</f>
        <v>70</v>
      </c>
      <c r="F81" s="213">
        <f>'Technology Matrix'!T47</f>
        <v>90</v>
      </c>
      <c r="G81" s="215" t="str">
        <f>IF(AND(G$3&gt;=$E81,G$3&lt;=$F81),"T","F")</f>
        <v>F</v>
      </c>
      <c r="H81" s="214" t="str">
        <f t="shared" ref="H81:BS81" si="58">IF(AND(H$3&gt;=$E81,H$3&lt;=$F81),"T","F")</f>
        <v>F</v>
      </c>
      <c r="I81" s="214" t="str">
        <f t="shared" si="58"/>
        <v>F</v>
      </c>
      <c r="J81" s="214" t="str">
        <f t="shared" si="58"/>
        <v>F</v>
      </c>
      <c r="K81" s="214" t="str">
        <f t="shared" si="58"/>
        <v>F</v>
      </c>
      <c r="L81" s="214" t="str">
        <f t="shared" si="58"/>
        <v>F</v>
      </c>
      <c r="M81" s="214" t="str">
        <f t="shared" si="58"/>
        <v>F</v>
      </c>
      <c r="N81" s="214" t="str">
        <f t="shared" si="58"/>
        <v>F</v>
      </c>
      <c r="O81" s="214" t="str">
        <f t="shared" si="58"/>
        <v>F</v>
      </c>
      <c r="P81" s="214" t="str">
        <f t="shared" si="58"/>
        <v>F</v>
      </c>
      <c r="Q81" s="215" t="str">
        <f t="shared" si="58"/>
        <v>F</v>
      </c>
      <c r="R81" s="214" t="str">
        <f t="shared" si="58"/>
        <v>F</v>
      </c>
      <c r="S81" s="214" t="str">
        <f t="shared" si="58"/>
        <v>F</v>
      </c>
      <c r="T81" s="214" t="str">
        <f t="shared" si="58"/>
        <v>F</v>
      </c>
      <c r="U81" s="214" t="str">
        <f t="shared" si="58"/>
        <v>F</v>
      </c>
      <c r="V81" s="214" t="str">
        <f t="shared" si="58"/>
        <v>F</v>
      </c>
      <c r="W81" s="214" t="str">
        <f t="shared" si="58"/>
        <v>F</v>
      </c>
      <c r="X81" s="214" t="str">
        <f t="shared" si="58"/>
        <v>F</v>
      </c>
      <c r="Y81" s="214" t="str">
        <f t="shared" si="58"/>
        <v>F</v>
      </c>
      <c r="Z81" s="214" t="str">
        <f t="shared" si="58"/>
        <v>F</v>
      </c>
      <c r="AA81" s="215" t="str">
        <f t="shared" si="58"/>
        <v>F</v>
      </c>
      <c r="AB81" s="214" t="str">
        <f t="shared" si="58"/>
        <v>F</v>
      </c>
      <c r="AC81" s="214" t="str">
        <f t="shared" si="58"/>
        <v>F</v>
      </c>
      <c r="AD81" s="214" t="str">
        <f t="shared" si="58"/>
        <v>F</v>
      </c>
      <c r="AE81" s="214" t="str">
        <f t="shared" si="58"/>
        <v>F</v>
      </c>
      <c r="AF81" s="214" t="str">
        <f t="shared" si="58"/>
        <v>F</v>
      </c>
      <c r="AG81" s="214" t="str">
        <f t="shared" si="58"/>
        <v>F</v>
      </c>
      <c r="AH81" s="214" t="str">
        <f t="shared" si="58"/>
        <v>F</v>
      </c>
      <c r="AI81" s="214" t="str">
        <f t="shared" si="58"/>
        <v>F</v>
      </c>
      <c r="AJ81" s="214" t="str">
        <f t="shared" si="58"/>
        <v>F</v>
      </c>
      <c r="AK81" s="215" t="str">
        <f t="shared" si="58"/>
        <v>F</v>
      </c>
      <c r="AL81" s="214" t="str">
        <f t="shared" si="58"/>
        <v>F</v>
      </c>
      <c r="AM81" s="214" t="str">
        <f t="shared" si="58"/>
        <v>F</v>
      </c>
      <c r="AN81" s="214" t="str">
        <f t="shared" si="58"/>
        <v>F</v>
      </c>
      <c r="AO81" s="214" t="str">
        <f t="shared" si="58"/>
        <v>F</v>
      </c>
      <c r="AP81" s="214" t="str">
        <f t="shared" si="58"/>
        <v>F</v>
      </c>
      <c r="AQ81" s="214" t="str">
        <f t="shared" si="58"/>
        <v>F</v>
      </c>
      <c r="AR81" s="214" t="str">
        <f t="shared" si="58"/>
        <v>F</v>
      </c>
      <c r="AS81" s="214" t="str">
        <f t="shared" si="58"/>
        <v>F</v>
      </c>
      <c r="AT81" s="214" t="str">
        <f t="shared" si="58"/>
        <v>F</v>
      </c>
      <c r="AU81" s="215" t="str">
        <f t="shared" si="58"/>
        <v>F</v>
      </c>
      <c r="AV81" s="214" t="str">
        <f t="shared" si="58"/>
        <v>F</v>
      </c>
      <c r="AW81" s="214" t="str">
        <f t="shared" si="58"/>
        <v>F</v>
      </c>
      <c r="AX81" s="214" t="str">
        <f t="shared" si="58"/>
        <v>F</v>
      </c>
      <c r="AY81" s="214" t="str">
        <f t="shared" si="58"/>
        <v>F</v>
      </c>
      <c r="AZ81" s="214" t="str">
        <f t="shared" si="58"/>
        <v>F</v>
      </c>
      <c r="BA81" s="214" t="str">
        <f t="shared" si="58"/>
        <v>F</v>
      </c>
      <c r="BB81" s="214" t="str">
        <f t="shared" si="58"/>
        <v>F</v>
      </c>
      <c r="BC81" s="214" t="str">
        <f t="shared" si="58"/>
        <v>F</v>
      </c>
      <c r="BD81" s="214" t="str">
        <f t="shared" si="58"/>
        <v>F</v>
      </c>
      <c r="BE81" s="215" t="str">
        <f t="shared" si="58"/>
        <v>F</v>
      </c>
      <c r="BF81" s="214" t="str">
        <f t="shared" si="58"/>
        <v>F</v>
      </c>
      <c r="BG81" s="214" t="str">
        <f t="shared" si="58"/>
        <v>F</v>
      </c>
      <c r="BH81" s="214" t="str">
        <f t="shared" si="58"/>
        <v>F</v>
      </c>
      <c r="BI81" s="214" t="str">
        <f t="shared" si="58"/>
        <v>F</v>
      </c>
      <c r="BJ81" s="214" t="str">
        <f t="shared" si="58"/>
        <v>F</v>
      </c>
      <c r="BK81" s="214" t="str">
        <f t="shared" si="58"/>
        <v>F</v>
      </c>
      <c r="BL81" s="214" t="str">
        <f t="shared" si="58"/>
        <v>F</v>
      </c>
      <c r="BM81" s="214" t="str">
        <f t="shared" si="58"/>
        <v>F</v>
      </c>
      <c r="BN81" s="214" t="str">
        <f t="shared" si="58"/>
        <v>F</v>
      </c>
      <c r="BO81" s="215" t="str">
        <f t="shared" si="58"/>
        <v>F</v>
      </c>
      <c r="BP81" s="214" t="str">
        <f t="shared" si="58"/>
        <v>F</v>
      </c>
      <c r="BQ81" s="214" t="str">
        <f t="shared" si="58"/>
        <v>F</v>
      </c>
      <c r="BR81" s="214" t="str">
        <f t="shared" si="58"/>
        <v>F</v>
      </c>
      <c r="BS81" s="214" t="str">
        <f t="shared" si="58"/>
        <v>F</v>
      </c>
      <c r="BT81" s="214" t="str">
        <f t="shared" ref="BT81:DC81" si="59">IF(AND(BT$3&gt;=$E81,BT$3&lt;=$F81),"T","F")</f>
        <v>F</v>
      </c>
      <c r="BU81" s="214" t="str">
        <f t="shared" si="59"/>
        <v>F</v>
      </c>
      <c r="BV81" s="214" t="str">
        <f t="shared" si="59"/>
        <v>F</v>
      </c>
      <c r="BW81" s="214" t="str">
        <f t="shared" si="59"/>
        <v>F</v>
      </c>
      <c r="BX81" s="214" t="str">
        <f t="shared" si="59"/>
        <v>F</v>
      </c>
      <c r="BY81" s="215" t="str">
        <f t="shared" si="59"/>
        <v>T</v>
      </c>
      <c r="BZ81" s="214" t="str">
        <f t="shared" si="59"/>
        <v>T</v>
      </c>
      <c r="CA81" s="214" t="str">
        <f t="shared" si="59"/>
        <v>T</v>
      </c>
      <c r="CB81" s="214" t="str">
        <f t="shared" si="59"/>
        <v>T</v>
      </c>
      <c r="CC81" s="214" t="str">
        <f t="shared" si="59"/>
        <v>T</v>
      </c>
      <c r="CD81" s="214" t="str">
        <f t="shared" si="59"/>
        <v>T</v>
      </c>
      <c r="CE81" s="214" t="str">
        <f t="shared" si="59"/>
        <v>T</v>
      </c>
      <c r="CF81" s="214" t="str">
        <f t="shared" si="59"/>
        <v>T</v>
      </c>
      <c r="CG81" s="214" t="str">
        <f t="shared" si="59"/>
        <v>T</v>
      </c>
      <c r="CH81" s="214" t="str">
        <f t="shared" si="59"/>
        <v>T</v>
      </c>
      <c r="CI81" s="215" t="str">
        <f t="shared" si="59"/>
        <v>T</v>
      </c>
      <c r="CJ81" s="214" t="str">
        <f t="shared" si="59"/>
        <v>T</v>
      </c>
      <c r="CK81" s="214" t="str">
        <f t="shared" si="59"/>
        <v>T</v>
      </c>
      <c r="CL81" s="214" t="str">
        <f t="shared" si="59"/>
        <v>T</v>
      </c>
      <c r="CM81" s="214" t="str">
        <f t="shared" si="59"/>
        <v>T</v>
      </c>
      <c r="CN81" s="214" t="str">
        <f t="shared" si="59"/>
        <v>T</v>
      </c>
      <c r="CO81" s="214" t="str">
        <f t="shared" si="59"/>
        <v>T</v>
      </c>
      <c r="CP81" s="214" t="str">
        <f t="shared" si="59"/>
        <v>T</v>
      </c>
      <c r="CQ81" s="214" t="str">
        <f t="shared" si="59"/>
        <v>T</v>
      </c>
      <c r="CR81" s="214" t="str">
        <f t="shared" si="59"/>
        <v>T</v>
      </c>
      <c r="CS81" s="215" t="str">
        <f t="shared" si="59"/>
        <v>T</v>
      </c>
      <c r="CT81" s="214" t="str">
        <f t="shared" si="59"/>
        <v>F</v>
      </c>
      <c r="CU81" s="214" t="str">
        <f t="shared" si="59"/>
        <v>F</v>
      </c>
      <c r="CV81" s="214" t="str">
        <f t="shared" si="59"/>
        <v>F</v>
      </c>
      <c r="CW81" s="214" t="str">
        <f t="shared" si="59"/>
        <v>F</v>
      </c>
      <c r="CX81" s="214" t="str">
        <f t="shared" si="59"/>
        <v>F</v>
      </c>
      <c r="CY81" s="214" t="str">
        <f t="shared" si="59"/>
        <v>F</v>
      </c>
      <c r="CZ81" s="214" t="str">
        <f t="shared" si="59"/>
        <v>F</v>
      </c>
      <c r="DA81" s="214" t="str">
        <f t="shared" si="59"/>
        <v>F</v>
      </c>
      <c r="DB81" s="214" t="str">
        <f t="shared" si="59"/>
        <v>F</v>
      </c>
      <c r="DC81" s="216" t="str">
        <f t="shared" si="59"/>
        <v>F</v>
      </c>
    </row>
    <row r="82" spans="2:107" x14ac:dyDescent="0.2">
      <c r="B82" s="211"/>
      <c r="C82" s="609"/>
      <c r="D82" s="212"/>
      <c r="E82" s="253"/>
      <c r="F82" s="213"/>
      <c r="G82" s="226"/>
      <c r="H82" s="227"/>
      <c r="I82" s="227"/>
      <c r="J82" s="227"/>
      <c r="K82" s="227"/>
      <c r="L82" s="227"/>
      <c r="M82" s="227"/>
      <c r="N82" s="227"/>
      <c r="O82" s="227"/>
      <c r="P82" s="227"/>
      <c r="Q82" s="228"/>
      <c r="R82" s="227"/>
      <c r="S82" s="227"/>
      <c r="T82" s="227"/>
      <c r="U82" s="227"/>
      <c r="V82" s="227"/>
      <c r="W82" s="227"/>
      <c r="X82" s="227"/>
      <c r="Y82" s="227"/>
      <c r="Z82" s="227"/>
      <c r="AA82" s="228"/>
      <c r="AB82" s="227"/>
      <c r="AC82" s="227"/>
      <c r="AD82" s="227"/>
      <c r="AE82" s="227"/>
      <c r="AF82" s="227"/>
      <c r="AG82" s="227"/>
      <c r="AH82" s="227"/>
      <c r="AI82" s="227"/>
      <c r="AJ82" s="227"/>
      <c r="AK82" s="228"/>
      <c r="AL82" s="227"/>
      <c r="AM82" s="227"/>
      <c r="AN82" s="227"/>
      <c r="AO82" s="227"/>
      <c r="AP82" s="227"/>
      <c r="AQ82" s="227"/>
      <c r="AR82" s="227"/>
      <c r="AS82" s="227"/>
      <c r="AT82" s="227"/>
      <c r="AU82" s="228"/>
      <c r="AV82" s="227"/>
      <c r="AW82" s="227"/>
      <c r="AX82" s="227"/>
      <c r="AY82" s="227"/>
      <c r="AZ82" s="227"/>
      <c r="BA82" s="227"/>
      <c r="BB82" s="227"/>
      <c r="BC82" s="227"/>
      <c r="BD82" s="227"/>
      <c r="BE82" s="228"/>
      <c r="BF82" s="227"/>
      <c r="BG82" s="227"/>
      <c r="BH82" s="227"/>
      <c r="BI82" s="227"/>
      <c r="BJ82" s="227"/>
      <c r="BK82" s="227"/>
      <c r="BL82" s="227"/>
      <c r="BM82" s="227"/>
      <c r="BN82" s="227"/>
      <c r="BO82" s="228"/>
      <c r="BP82" s="227"/>
      <c r="BQ82" s="227"/>
      <c r="BR82" s="227"/>
      <c r="BS82" s="227"/>
      <c r="BT82" s="227"/>
      <c r="BU82" s="227"/>
      <c r="BV82" s="227"/>
      <c r="BW82" s="227"/>
      <c r="BX82" s="227"/>
      <c r="BY82" s="228"/>
      <c r="BZ82" s="227"/>
      <c r="CA82" s="227"/>
      <c r="CB82" s="227"/>
      <c r="CC82" s="227"/>
      <c r="CD82" s="227"/>
      <c r="CE82" s="227"/>
      <c r="CF82" s="227"/>
      <c r="CG82" s="227"/>
      <c r="CH82" s="227"/>
      <c r="CI82" s="228"/>
      <c r="CJ82" s="227"/>
      <c r="CK82" s="227"/>
      <c r="CL82" s="227"/>
      <c r="CM82" s="227"/>
      <c r="CN82" s="227"/>
      <c r="CO82" s="227"/>
      <c r="CP82" s="227"/>
      <c r="CQ82" s="227"/>
      <c r="CR82" s="227"/>
      <c r="CS82" s="228"/>
      <c r="CT82" s="227"/>
      <c r="CU82" s="227"/>
      <c r="CV82" s="227"/>
      <c r="CW82" s="227"/>
      <c r="CX82" s="227"/>
      <c r="CY82" s="227"/>
      <c r="CZ82" s="227"/>
      <c r="DA82" s="227"/>
      <c r="DB82" s="227"/>
      <c r="DC82" s="229"/>
    </row>
    <row r="83" spans="2:107" x14ac:dyDescent="0.2">
      <c r="B83" s="211"/>
      <c r="C83" s="609"/>
      <c r="D83" s="212" t="str">
        <f>'Technology Matrix'!B48</f>
        <v>Conventional Treatment</v>
      </c>
      <c r="E83" s="253">
        <f>'Technology Matrix'!S48</f>
        <v>80</v>
      </c>
      <c r="F83" s="213">
        <f>'Technology Matrix'!T48</f>
        <v>85</v>
      </c>
      <c r="G83" s="215" t="str">
        <f>IF(AND(G$3&gt;=$E83,G$3&lt;=$F83),"T","F")</f>
        <v>F</v>
      </c>
      <c r="H83" s="214" t="str">
        <f t="shared" ref="H83:BS83" si="60">IF(AND(H$3&gt;=$E83,H$3&lt;=$F83),"T","F")</f>
        <v>F</v>
      </c>
      <c r="I83" s="214" t="str">
        <f t="shared" si="60"/>
        <v>F</v>
      </c>
      <c r="J83" s="214" t="str">
        <f t="shared" si="60"/>
        <v>F</v>
      </c>
      <c r="K83" s="214" t="str">
        <f t="shared" si="60"/>
        <v>F</v>
      </c>
      <c r="L83" s="214" t="str">
        <f t="shared" si="60"/>
        <v>F</v>
      </c>
      <c r="M83" s="214" t="str">
        <f t="shared" si="60"/>
        <v>F</v>
      </c>
      <c r="N83" s="214" t="str">
        <f t="shared" si="60"/>
        <v>F</v>
      </c>
      <c r="O83" s="214" t="str">
        <f t="shared" si="60"/>
        <v>F</v>
      </c>
      <c r="P83" s="214" t="str">
        <f t="shared" si="60"/>
        <v>F</v>
      </c>
      <c r="Q83" s="215" t="str">
        <f t="shared" si="60"/>
        <v>F</v>
      </c>
      <c r="R83" s="214" t="str">
        <f t="shared" si="60"/>
        <v>F</v>
      </c>
      <c r="S83" s="214" t="str">
        <f t="shared" si="60"/>
        <v>F</v>
      </c>
      <c r="T83" s="214" t="str">
        <f t="shared" si="60"/>
        <v>F</v>
      </c>
      <c r="U83" s="214" t="str">
        <f t="shared" si="60"/>
        <v>F</v>
      </c>
      <c r="V83" s="214" t="str">
        <f t="shared" si="60"/>
        <v>F</v>
      </c>
      <c r="W83" s="214" t="str">
        <f t="shared" si="60"/>
        <v>F</v>
      </c>
      <c r="X83" s="214" t="str">
        <f t="shared" si="60"/>
        <v>F</v>
      </c>
      <c r="Y83" s="214" t="str">
        <f t="shared" si="60"/>
        <v>F</v>
      </c>
      <c r="Z83" s="214" t="str">
        <f t="shared" si="60"/>
        <v>F</v>
      </c>
      <c r="AA83" s="215" t="str">
        <f t="shared" si="60"/>
        <v>F</v>
      </c>
      <c r="AB83" s="214" t="str">
        <f t="shared" si="60"/>
        <v>F</v>
      </c>
      <c r="AC83" s="214" t="str">
        <f t="shared" si="60"/>
        <v>F</v>
      </c>
      <c r="AD83" s="214" t="str">
        <f t="shared" si="60"/>
        <v>F</v>
      </c>
      <c r="AE83" s="214" t="str">
        <f t="shared" si="60"/>
        <v>F</v>
      </c>
      <c r="AF83" s="214" t="str">
        <f t="shared" si="60"/>
        <v>F</v>
      </c>
      <c r="AG83" s="214" t="str">
        <f t="shared" si="60"/>
        <v>F</v>
      </c>
      <c r="AH83" s="214" t="str">
        <f t="shared" si="60"/>
        <v>F</v>
      </c>
      <c r="AI83" s="214" t="str">
        <f t="shared" si="60"/>
        <v>F</v>
      </c>
      <c r="AJ83" s="214" t="str">
        <f t="shared" si="60"/>
        <v>F</v>
      </c>
      <c r="AK83" s="215" t="str">
        <f t="shared" si="60"/>
        <v>F</v>
      </c>
      <c r="AL83" s="214" t="str">
        <f t="shared" si="60"/>
        <v>F</v>
      </c>
      <c r="AM83" s="214" t="str">
        <f t="shared" si="60"/>
        <v>F</v>
      </c>
      <c r="AN83" s="214" t="str">
        <f t="shared" si="60"/>
        <v>F</v>
      </c>
      <c r="AO83" s="214" t="str">
        <f t="shared" si="60"/>
        <v>F</v>
      </c>
      <c r="AP83" s="214" t="str">
        <f t="shared" si="60"/>
        <v>F</v>
      </c>
      <c r="AQ83" s="214" t="str">
        <f t="shared" si="60"/>
        <v>F</v>
      </c>
      <c r="AR83" s="214" t="str">
        <f t="shared" si="60"/>
        <v>F</v>
      </c>
      <c r="AS83" s="214" t="str">
        <f t="shared" si="60"/>
        <v>F</v>
      </c>
      <c r="AT83" s="214" t="str">
        <f t="shared" si="60"/>
        <v>F</v>
      </c>
      <c r="AU83" s="215" t="str">
        <f t="shared" si="60"/>
        <v>F</v>
      </c>
      <c r="AV83" s="214" t="str">
        <f t="shared" si="60"/>
        <v>F</v>
      </c>
      <c r="AW83" s="214" t="str">
        <f t="shared" si="60"/>
        <v>F</v>
      </c>
      <c r="AX83" s="214" t="str">
        <f t="shared" si="60"/>
        <v>F</v>
      </c>
      <c r="AY83" s="214" t="str">
        <f t="shared" si="60"/>
        <v>F</v>
      </c>
      <c r="AZ83" s="214" t="str">
        <f t="shared" si="60"/>
        <v>F</v>
      </c>
      <c r="BA83" s="214" t="str">
        <f t="shared" si="60"/>
        <v>F</v>
      </c>
      <c r="BB83" s="214" t="str">
        <f t="shared" si="60"/>
        <v>F</v>
      </c>
      <c r="BC83" s="214" t="str">
        <f t="shared" si="60"/>
        <v>F</v>
      </c>
      <c r="BD83" s="214" t="str">
        <f t="shared" si="60"/>
        <v>F</v>
      </c>
      <c r="BE83" s="215" t="str">
        <f t="shared" si="60"/>
        <v>F</v>
      </c>
      <c r="BF83" s="214" t="str">
        <f t="shared" si="60"/>
        <v>F</v>
      </c>
      <c r="BG83" s="214" t="str">
        <f t="shared" si="60"/>
        <v>F</v>
      </c>
      <c r="BH83" s="214" t="str">
        <f t="shared" si="60"/>
        <v>F</v>
      </c>
      <c r="BI83" s="214" t="str">
        <f t="shared" si="60"/>
        <v>F</v>
      </c>
      <c r="BJ83" s="214" t="str">
        <f t="shared" si="60"/>
        <v>F</v>
      </c>
      <c r="BK83" s="214" t="str">
        <f t="shared" si="60"/>
        <v>F</v>
      </c>
      <c r="BL83" s="214" t="str">
        <f t="shared" si="60"/>
        <v>F</v>
      </c>
      <c r="BM83" s="214" t="str">
        <f t="shared" si="60"/>
        <v>F</v>
      </c>
      <c r="BN83" s="214" t="str">
        <f t="shared" si="60"/>
        <v>F</v>
      </c>
      <c r="BO83" s="215" t="str">
        <f t="shared" si="60"/>
        <v>F</v>
      </c>
      <c r="BP83" s="214" t="str">
        <f t="shared" si="60"/>
        <v>F</v>
      </c>
      <c r="BQ83" s="214" t="str">
        <f t="shared" si="60"/>
        <v>F</v>
      </c>
      <c r="BR83" s="214" t="str">
        <f t="shared" si="60"/>
        <v>F</v>
      </c>
      <c r="BS83" s="214" t="str">
        <f t="shared" si="60"/>
        <v>F</v>
      </c>
      <c r="BT83" s="214" t="str">
        <f t="shared" ref="BT83:DC83" si="61">IF(AND(BT$3&gt;=$E83,BT$3&lt;=$F83),"T","F")</f>
        <v>F</v>
      </c>
      <c r="BU83" s="214" t="str">
        <f t="shared" si="61"/>
        <v>F</v>
      </c>
      <c r="BV83" s="214" t="str">
        <f t="shared" si="61"/>
        <v>F</v>
      </c>
      <c r="BW83" s="214" t="str">
        <f t="shared" si="61"/>
        <v>F</v>
      </c>
      <c r="BX83" s="214" t="str">
        <f t="shared" si="61"/>
        <v>F</v>
      </c>
      <c r="BY83" s="215" t="str">
        <f t="shared" si="61"/>
        <v>F</v>
      </c>
      <c r="BZ83" s="214" t="str">
        <f t="shared" si="61"/>
        <v>F</v>
      </c>
      <c r="CA83" s="214" t="str">
        <f t="shared" si="61"/>
        <v>F</v>
      </c>
      <c r="CB83" s="214" t="str">
        <f t="shared" si="61"/>
        <v>F</v>
      </c>
      <c r="CC83" s="214" t="str">
        <f t="shared" si="61"/>
        <v>F</v>
      </c>
      <c r="CD83" s="214" t="str">
        <f t="shared" si="61"/>
        <v>F</v>
      </c>
      <c r="CE83" s="214" t="str">
        <f t="shared" si="61"/>
        <v>F</v>
      </c>
      <c r="CF83" s="214" t="str">
        <f t="shared" si="61"/>
        <v>F</v>
      </c>
      <c r="CG83" s="214" t="str">
        <f t="shared" si="61"/>
        <v>F</v>
      </c>
      <c r="CH83" s="214" t="str">
        <f t="shared" si="61"/>
        <v>F</v>
      </c>
      <c r="CI83" s="215" t="str">
        <f t="shared" si="61"/>
        <v>T</v>
      </c>
      <c r="CJ83" s="214" t="str">
        <f t="shared" si="61"/>
        <v>T</v>
      </c>
      <c r="CK83" s="214" t="str">
        <f t="shared" si="61"/>
        <v>T</v>
      </c>
      <c r="CL83" s="214" t="str">
        <f t="shared" si="61"/>
        <v>T</v>
      </c>
      <c r="CM83" s="214" t="str">
        <f t="shared" si="61"/>
        <v>T</v>
      </c>
      <c r="CN83" s="214" t="str">
        <f t="shared" si="61"/>
        <v>T</v>
      </c>
      <c r="CO83" s="214" t="str">
        <f t="shared" si="61"/>
        <v>F</v>
      </c>
      <c r="CP83" s="214" t="str">
        <f t="shared" si="61"/>
        <v>F</v>
      </c>
      <c r="CQ83" s="214" t="str">
        <f t="shared" si="61"/>
        <v>F</v>
      </c>
      <c r="CR83" s="214" t="str">
        <f t="shared" si="61"/>
        <v>F</v>
      </c>
      <c r="CS83" s="215" t="str">
        <f t="shared" si="61"/>
        <v>F</v>
      </c>
      <c r="CT83" s="214" t="str">
        <f t="shared" si="61"/>
        <v>F</v>
      </c>
      <c r="CU83" s="214" t="str">
        <f t="shared" si="61"/>
        <v>F</v>
      </c>
      <c r="CV83" s="214" t="str">
        <f t="shared" si="61"/>
        <v>F</v>
      </c>
      <c r="CW83" s="214" t="str">
        <f t="shared" si="61"/>
        <v>F</v>
      </c>
      <c r="CX83" s="214" t="str">
        <f t="shared" si="61"/>
        <v>F</v>
      </c>
      <c r="CY83" s="214" t="str">
        <f t="shared" si="61"/>
        <v>F</v>
      </c>
      <c r="CZ83" s="214" t="str">
        <f t="shared" si="61"/>
        <v>F</v>
      </c>
      <c r="DA83" s="214" t="str">
        <f t="shared" si="61"/>
        <v>F</v>
      </c>
      <c r="DB83" s="214" t="str">
        <f t="shared" si="61"/>
        <v>F</v>
      </c>
      <c r="DC83" s="216" t="str">
        <f t="shared" si="61"/>
        <v>F</v>
      </c>
    </row>
    <row r="84" spans="2:107" x14ac:dyDescent="0.2">
      <c r="B84" s="211"/>
      <c r="C84" s="609"/>
      <c r="D84" s="212"/>
      <c r="E84" s="253"/>
      <c r="F84" s="213"/>
      <c r="G84" s="226"/>
      <c r="H84" s="227"/>
      <c r="I84" s="227"/>
      <c r="J84" s="227"/>
      <c r="K84" s="227"/>
      <c r="L84" s="227"/>
      <c r="M84" s="227"/>
      <c r="N84" s="227"/>
      <c r="O84" s="227"/>
      <c r="P84" s="227"/>
      <c r="Q84" s="228"/>
      <c r="R84" s="227"/>
      <c r="S84" s="227"/>
      <c r="T84" s="227"/>
      <c r="U84" s="227"/>
      <c r="V84" s="227"/>
      <c r="W84" s="227"/>
      <c r="X84" s="227"/>
      <c r="Y84" s="227"/>
      <c r="Z84" s="227"/>
      <c r="AA84" s="228"/>
      <c r="AB84" s="227"/>
      <c r="AC84" s="227"/>
      <c r="AD84" s="227"/>
      <c r="AE84" s="227"/>
      <c r="AF84" s="227"/>
      <c r="AG84" s="227"/>
      <c r="AH84" s="227"/>
      <c r="AI84" s="227"/>
      <c r="AJ84" s="227"/>
      <c r="AK84" s="228"/>
      <c r="AL84" s="227"/>
      <c r="AM84" s="227"/>
      <c r="AN84" s="227"/>
      <c r="AO84" s="227"/>
      <c r="AP84" s="227"/>
      <c r="AQ84" s="227"/>
      <c r="AR84" s="227"/>
      <c r="AS84" s="227"/>
      <c r="AT84" s="227"/>
      <c r="AU84" s="228"/>
      <c r="AV84" s="227"/>
      <c r="AW84" s="227"/>
      <c r="AX84" s="227"/>
      <c r="AY84" s="227"/>
      <c r="AZ84" s="227"/>
      <c r="BA84" s="227"/>
      <c r="BB84" s="227"/>
      <c r="BC84" s="227"/>
      <c r="BD84" s="227"/>
      <c r="BE84" s="228"/>
      <c r="BF84" s="227"/>
      <c r="BG84" s="227"/>
      <c r="BH84" s="227"/>
      <c r="BI84" s="227"/>
      <c r="BJ84" s="227"/>
      <c r="BK84" s="227"/>
      <c r="BL84" s="227"/>
      <c r="BM84" s="227"/>
      <c r="BN84" s="227"/>
      <c r="BO84" s="228"/>
      <c r="BP84" s="227"/>
      <c r="BQ84" s="227"/>
      <c r="BR84" s="227"/>
      <c r="BS84" s="227"/>
      <c r="BT84" s="227"/>
      <c r="BU84" s="227"/>
      <c r="BV84" s="227"/>
      <c r="BW84" s="227"/>
      <c r="BX84" s="227"/>
      <c r="BY84" s="228"/>
      <c r="BZ84" s="227"/>
      <c r="CA84" s="227"/>
      <c r="CB84" s="227"/>
      <c r="CC84" s="227"/>
      <c r="CD84" s="227"/>
      <c r="CE84" s="227"/>
      <c r="CF84" s="227"/>
      <c r="CG84" s="227"/>
      <c r="CH84" s="227"/>
      <c r="CI84" s="228"/>
      <c r="CJ84" s="227"/>
      <c r="CK84" s="227"/>
      <c r="CL84" s="227"/>
      <c r="CM84" s="227"/>
      <c r="CN84" s="227"/>
      <c r="CO84" s="227"/>
      <c r="CP84" s="227"/>
      <c r="CQ84" s="227"/>
      <c r="CR84" s="227"/>
      <c r="CS84" s="228"/>
      <c r="CT84" s="227"/>
      <c r="CU84" s="227"/>
      <c r="CV84" s="227"/>
      <c r="CW84" s="227"/>
      <c r="CX84" s="227"/>
      <c r="CY84" s="227"/>
      <c r="CZ84" s="227"/>
      <c r="DA84" s="227"/>
      <c r="DB84" s="227"/>
      <c r="DC84" s="229"/>
    </row>
    <row r="85" spans="2:107" x14ac:dyDescent="0.2">
      <c r="B85" s="211"/>
      <c r="C85" s="609"/>
      <c r="D85" s="212" t="str">
        <f>'Technology Matrix'!B49</f>
        <v>Advanced Treatment</v>
      </c>
      <c r="E85" s="253">
        <f>'Technology Matrix'!S49</f>
        <v>86</v>
      </c>
      <c r="F85" s="213">
        <f>'Technology Matrix'!T49</f>
        <v>90</v>
      </c>
      <c r="G85" s="215" t="str">
        <f>IF(AND(G$3&gt;=$E85,G$3&lt;=$F85),"T","F")</f>
        <v>F</v>
      </c>
      <c r="H85" s="214" t="str">
        <f t="shared" ref="H85:BS85" si="62">IF(AND(H$3&gt;=$E85,H$3&lt;=$F85),"T","F")</f>
        <v>F</v>
      </c>
      <c r="I85" s="214" t="str">
        <f t="shared" si="62"/>
        <v>F</v>
      </c>
      <c r="J85" s="214" t="str">
        <f t="shared" si="62"/>
        <v>F</v>
      </c>
      <c r="K85" s="214" t="str">
        <f t="shared" si="62"/>
        <v>F</v>
      </c>
      <c r="L85" s="214" t="str">
        <f t="shared" si="62"/>
        <v>F</v>
      </c>
      <c r="M85" s="214" t="str">
        <f t="shared" si="62"/>
        <v>F</v>
      </c>
      <c r="N85" s="214" t="str">
        <f t="shared" si="62"/>
        <v>F</v>
      </c>
      <c r="O85" s="214" t="str">
        <f t="shared" si="62"/>
        <v>F</v>
      </c>
      <c r="P85" s="214" t="str">
        <f t="shared" si="62"/>
        <v>F</v>
      </c>
      <c r="Q85" s="215" t="str">
        <f t="shared" si="62"/>
        <v>F</v>
      </c>
      <c r="R85" s="214" t="str">
        <f t="shared" si="62"/>
        <v>F</v>
      </c>
      <c r="S85" s="214" t="str">
        <f t="shared" si="62"/>
        <v>F</v>
      </c>
      <c r="T85" s="214" t="str">
        <f t="shared" si="62"/>
        <v>F</v>
      </c>
      <c r="U85" s="214" t="str">
        <f t="shared" si="62"/>
        <v>F</v>
      </c>
      <c r="V85" s="214" t="str">
        <f t="shared" si="62"/>
        <v>F</v>
      </c>
      <c r="W85" s="214" t="str">
        <f t="shared" si="62"/>
        <v>F</v>
      </c>
      <c r="X85" s="214" t="str">
        <f t="shared" si="62"/>
        <v>F</v>
      </c>
      <c r="Y85" s="214" t="str">
        <f t="shared" si="62"/>
        <v>F</v>
      </c>
      <c r="Z85" s="214" t="str">
        <f t="shared" si="62"/>
        <v>F</v>
      </c>
      <c r="AA85" s="215" t="str">
        <f t="shared" si="62"/>
        <v>F</v>
      </c>
      <c r="AB85" s="214" t="str">
        <f t="shared" si="62"/>
        <v>F</v>
      </c>
      <c r="AC85" s="214" t="str">
        <f t="shared" si="62"/>
        <v>F</v>
      </c>
      <c r="AD85" s="214" t="str">
        <f t="shared" si="62"/>
        <v>F</v>
      </c>
      <c r="AE85" s="214" t="str">
        <f t="shared" si="62"/>
        <v>F</v>
      </c>
      <c r="AF85" s="214" t="str">
        <f t="shared" si="62"/>
        <v>F</v>
      </c>
      <c r="AG85" s="214" t="str">
        <f t="shared" si="62"/>
        <v>F</v>
      </c>
      <c r="AH85" s="214" t="str">
        <f t="shared" si="62"/>
        <v>F</v>
      </c>
      <c r="AI85" s="214" t="str">
        <f t="shared" si="62"/>
        <v>F</v>
      </c>
      <c r="AJ85" s="214" t="str">
        <f t="shared" si="62"/>
        <v>F</v>
      </c>
      <c r="AK85" s="215" t="str">
        <f t="shared" si="62"/>
        <v>F</v>
      </c>
      <c r="AL85" s="214" t="str">
        <f t="shared" si="62"/>
        <v>F</v>
      </c>
      <c r="AM85" s="214" t="str">
        <f t="shared" si="62"/>
        <v>F</v>
      </c>
      <c r="AN85" s="214" t="str">
        <f t="shared" si="62"/>
        <v>F</v>
      </c>
      <c r="AO85" s="214" t="str">
        <f t="shared" si="62"/>
        <v>F</v>
      </c>
      <c r="AP85" s="214" t="str">
        <f t="shared" si="62"/>
        <v>F</v>
      </c>
      <c r="AQ85" s="214" t="str">
        <f t="shared" si="62"/>
        <v>F</v>
      </c>
      <c r="AR85" s="214" t="str">
        <f t="shared" si="62"/>
        <v>F</v>
      </c>
      <c r="AS85" s="214" t="str">
        <f t="shared" si="62"/>
        <v>F</v>
      </c>
      <c r="AT85" s="214" t="str">
        <f t="shared" si="62"/>
        <v>F</v>
      </c>
      <c r="AU85" s="215" t="str">
        <f t="shared" si="62"/>
        <v>F</v>
      </c>
      <c r="AV85" s="214" t="str">
        <f t="shared" si="62"/>
        <v>F</v>
      </c>
      <c r="AW85" s="214" t="str">
        <f t="shared" si="62"/>
        <v>F</v>
      </c>
      <c r="AX85" s="214" t="str">
        <f t="shared" si="62"/>
        <v>F</v>
      </c>
      <c r="AY85" s="214" t="str">
        <f t="shared" si="62"/>
        <v>F</v>
      </c>
      <c r="AZ85" s="214" t="str">
        <f t="shared" si="62"/>
        <v>F</v>
      </c>
      <c r="BA85" s="214" t="str">
        <f t="shared" si="62"/>
        <v>F</v>
      </c>
      <c r="BB85" s="214" t="str">
        <f t="shared" si="62"/>
        <v>F</v>
      </c>
      <c r="BC85" s="214" t="str">
        <f t="shared" si="62"/>
        <v>F</v>
      </c>
      <c r="BD85" s="214" t="str">
        <f t="shared" si="62"/>
        <v>F</v>
      </c>
      <c r="BE85" s="215" t="str">
        <f t="shared" si="62"/>
        <v>F</v>
      </c>
      <c r="BF85" s="214" t="str">
        <f t="shared" si="62"/>
        <v>F</v>
      </c>
      <c r="BG85" s="214" t="str">
        <f t="shared" si="62"/>
        <v>F</v>
      </c>
      <c r="BH85" s="214" t="str">
        <f t="shared" si="62"/>
        <v>F</v>
      </c>
      <c r="BI85" s="214" t="str">
        <f t="shared" si="62"/>
        <v>F</v>
      </c>
      <c r="BJ85" s="214" t="str">
        <f t="shared" si="62"/>
        <v>F</v>
      </c>
      <c r="BK85" s="214" t="str">
        <f t="shared" si="62"/>
        <v>F</v>
      </c>
      <c r="BL85" s="214" t="str">
        <f t="shared" si="62"/>
        <v>F</v>
      </c>
      <c r="BM85" s="214" t="str">
        <f t="shared" si="62"/>
        <v>F</v>
      </c>
      <c r="BN85" s="214" t="str">
        <f t="shared" si="62"/>
        <v>F</v>
      </c>
      <c r="BO85" s="215" t="str">
        <f t="shared" si="62"/>
        <v>F</v>
      </c>
      <c r="BP85" s="214" t="str">
        <f t="shared" si="62"/>
        <v>F</v>
      </c>
      <c r="BQ85" s="214" t="str">
        <f t="shared" si="62"/>
        <v>F</v>
      </c>
      <c r="BR85" s="214" t="str">
        <f t="shared" si="62"/>
        <v>F</v>
      </c>
      <c r="BS85" s="214" t="str">
        <f t="shared" si="62"/>
        <v>F</v>
      </c>
      <c r="BT85" s="214" t="str">
        <f t="shared" ref="BT85:DC85" si="63">IF(AND(BT$3&gt;=$E85,BT$3&lt;=$F85),"T","F")</f>
        <v>F</v>
      </c>
      <c r="BU85" s="214" t="str">
        <f t="shared" si="63"/>
        <v>F</v>
      </c>
      <c r="BV85" s="214" t="str">
        <f t="shared" si="63"/>
        <v>F</v>
      </c>
      <c r="BW85" s="214" t="str">
        <f t="shared" si="63"/>
        <v>F</v>
      </c>
      <c r="BX85" s="214" t="str">
        <f t="shared" si="63"/>
        <v>F</v>
      </c>
      <c r="BY85" s="215" t="str">
        <f t="shared" si="63"/>
        <v>F</v>
      </c>
      <c r="BZ85" s="214" t="str">
        <f t="shared" si="63"/>
        <v>F</v>
      </c>
      <c r="CA85" s="214" t="str">
        <f t="shared" si="63"/>
        <v>F</v>
      </c>
      <c r="CB85" s="214" t="str">
        <f t="shared" si="63"/>
        <v>F</v>
      </c>
      <c r="CC85" s="214" t="str">
        <f t="shared" si="63"/>
        <v>F</v>
      </c>
      <c r="CD85" s="214" t="str">
        <f t="shared" si="63"/>
        <v>F</v>
      </c>
      <c r="CE85" s="214" t="str">
        <f t="shared" si="63"/>
        <v>F</v>
      </c>
      <c r="CF85" s="214" t="str">
        <f t="shared" si="63"/>
        <v>F</v>
      </c>
      <c r="CG85" s="214" t="str">
        <f t="shared" si="63"/>
        <v>F</v>
      </c>
      <c r="CH85" s="214" t="str">
        <f t="shared" si="63"/>
        <v>F</v>
      </c>
      <c r="CI85" s="215" t="str">
        <f t="shared" si="63"/>
        <v>F</v>
      </c>
      <c r="CJ85" s="214" t="str">
        <f t="shared" si="63"/>
        <v>F</v>
      </c>
      <c r="CK85" s="214" t="str">
        <f t="shared" si="63"/>
        <v>F</v>
      </c>
      <c r="CL85" s="214" t="str">
        <f t="shared" si="63"/>
        <v>F</v>
      </c>
      <c r="CM85" s="214" t="str">
        <f t="shared" si="63"/>
        <v>F</v>
      </c>
      <c r="CN85" s="214" t="str">
        <f t="shared" si="63"/>
        <v>F</v>
      </c>
      <c r="CO85" s="214" t="str">
        <f t="shared" si="63"/>
        <v>T</v>
      </c>
      <c r="CP85" s="214" t="str">
        <f t="shared" si="63"/>
        <v>T</v>
      </c>
      <c r="CQ85" s="214" t="str">
        <f t="shared" si="63"/>
        <v>T</v>
      </c>
      <c r="CR85" s="214" t="str">
        <f t="shared" si="63"/>
        <v>T</v>
      </c>
      <c r="CS85" s="215" t="str">
        <f t="shared" si="63"/>
        <v>T</v>
      </c>
      <c r="CT85" s="214" t="str">
        <f t="shared" si="63"/>
        <v>F</v>
      </c>
      <c r="CU85" s="214" t="str">
        <f t="shared" si="63"/>
        <v>F</v>
      </c>
      <c r="CV85" s="214" t="str">
        <f t="shared" si="63"/>
        <v>F</v>
      </c>
      <c r="CW85" s="214" t="str">
        <f t="shared" si="63"/>
        <v>F</v>
      </c>
      <c r="CX85" s="214" t="str">
        <f t="shared" si="63"/>
        <v>F</v>
      </c>
      <c r="CY85" s="214" t="str">
        <f t="shared" si="63"/>
        <v>F</v>
      </c>
      <c r="CZ85" s="214" t="str">
        <f t="shared" si="63"/>
        <v>F</v>
      </c>
      <c r="DA85" s="214" t="str">
        <f t="shared" si="63"/>
        <v>F</v>
      </c>
      <c r="DB85" s="214" t="str">
        <f t="shared" si="63"/>
        <v>F</v>
      </c>
      <c r="DC85" s="216" t="str">
        <f t="shared" si="63"/>
        <v>F</v>
      </c>
    </row>
    <row r="86" spans="2:107" x14ac:dyDescent="0.2">
      <c r="B86" s="211"/>
      <c r="C86" s="609"/>
      <c r="D86" s="212"/>
      <c r="E86" s="253"/>
      <c r="F86" s="213"/>
      <c r="G86" s="226"/>
      <c r="H86" s="227"/>
      <c r="I86" s="227"/>
      <c r="J86" s="227"/>
      <c r="K86" s="227"/>
      <c r="L86" s="227"/>
      <c r="M86" s="227"/>
      <c r="N86" s="227"/>
      <c r="O86" s="227"/>
      <c r="P86" s="227"/>
      <c r="Q86" s="228"/>
      <c r="R86" s="227"/>
      <c r="S86" s="227"/>
      <c r="T86" s="227"/>
      <c r="U86" s="227"/>
      <c r="V86" s="227"/>
      <c r="W86" s="227"/>
      <c r="X86" s="227"/>
      <c r="Y86" s="227"/>
      <c r="Z86" s="227"/>
      <c r="AA86" s="228"/>
      <c r="AB86" s="227"/>
      <c r="AC86" s="227"/>
      <c r="AD86" s="227"/>
      <c r="AE86" s="227"/>
      <c r="AF86" s="227"/>
      <c r="AG86" s="227"/>
      <c r="AH86" s="227"/>
      <c r="AI86" s="227"/>
      <c r="AJ86" s="227"/>
      <c r="AK86" s="228"/>
      <c r="AL86" s="227"/>
      <c r="AM86" s="227"/>
      <c r="AN86" s="227"/>
      <c r="AO86" s="227"/>
      <c r="AP86" s="227"/>
      <c r="AQ86" s="227"/>
      <c r="AR86" s="227"/>
      <c r="AS86" s="227"/>
      <c r="AT86" s="227"/>
      <c r="AU86" s="228"/>
      <c r="AV86" s="227"/>
      <c r="AW86" s="227"/>
      <c r="AX86" s="227"/>
      <c r="AY86" s="227"/>
      <c r="AZ86" s="227"/>
      <c r="BA86" s="227"/>
      <c r="BB86" s="227"/>
      <c r="BC86" s="227"/>
      <c r="BD86" s="227"/>
      <c r="BE86" s="228"/>
      <c r="BF86" s="227"/>
      <c r="BG86" s="227"/>
      <c r="BH86" s="227"/>
      <c r="BI86" s="227"/>
      <c r="BJ86" s="227"/>
      <c r="BK86" s="227"/>
      <c r="BL86" s="227"/>
      <c r="BM86" s="227"/>
      <c r="BN86" s="227"/>
      <c r="BO86" s="228"/>
      <c r="BP86" s="227"/>
      <c r="BQ86" s="227"/>
      <c r="BR86" s="227"/>
      <c r="BS86" s="227"/>
      <c r="BT86" s="227"/>
      <c r="BU86" s="227"/>
      <c r="BV86" s="227"/>
      <c r="BW86" s="227"/>
      <c r="BX86" s="227"/>
      <c r="BY86" s="228"/>
      <c r="BZ86" s="227"/>
      <c r="CA86" s="227"/>
      <c r="CB86" s="227"/>
      <c r="CC86" s="227"/>
      <c r="CD86" s="227"/>
      <c r="CE86" s="227"/>
      <c r="CF86" s="227"/>
      <c r="CG86" s="227"/>
      <c r="CH86" s="227"/>
      <c r="CI86" s="228"/>
      <c r="CJ86" s="227"/>
      <c r="CK86" s="227"/>
      <c r="CL86" s="227"/>
      <c r="CM86" s="227"/>
      <c r="CN86" s="227"/>
      <c r="CO86" s="227"/>
      <c r="CP86" s="227"/>
      <c r="CQ86" s="227"/>
      <c r="CR86" s="227"/>
      <c r="CS86" s="228"/>
      <c r="CT86" s="227"/>
      <c r="CU86" s="227"/>
      <c r="CV86" s="227"/>
      <c r="CW86" s="227"/>
      <c r="CX86" s="227"/>
      <c r="CY86" s="227"/>
      <c r="CZ86" s="227"/>
      <c r="DA86" s="227"/>
      <c r="DB86" s="227"/>
      <c r="DC86" s="229"/>
    </row>
    <row r="87" spans="2:107" x14ac:dyDescent="0.2">
      <c r="B87" s="211"/>
      <c r="C87" s="609"/>
      <c r="D87" s="212" t="str">
        <f>'Technology Matrix'!B50</f>
        <v>Satellite Treatment</v>
      </c>
      <c r="E87" s="253">
        <f>'Technology Matrix'!S50</f>
        <v>72</v>
      </c>
      <c r="F87" s="213">
        <f>'Technology Matrix'!T50</f>
        <v>78</v>
      </c>
      <c r="G87" s="215" t="str">
        <f>IF(AND(G$3&gt;=$E87,G$3&lt;=$F87),"T","F")</f>
        <v>F</v>
      </c>
      <c r="H87" s="214" t="str">
        <f t="shared" ref="H87:BS87" si="64">IF(AND(H$3&gt;=$E87,H$3&lt;=$F87),"T","F")</f>
        <v>F</v>
      </c>
      <c r="I87" s="214" t="str">
        <f t="shared" si="64"/>
        <v>F</v>
      </c>
      <c r="J87" s="214" t="str">
        <f t="shared" si="64"/>
        <v>F</v>
      </c>
      <c r="K87" s="214" t="str">
        <f t="shared" si="64"/>
        <v>F</v>
      </c>
      <c r="L87" s="214" t="str">
        <f t="shared" si="64"/>
        <v>F</v>
      </c>
      <c r="M87" s="214" t="str">
        <f t="shared" si="64"/>
        <v>F</v>
      </c>
      <c r="N87" s="214" t="str">
        <f t="shared" si="64"/>
        <v>F</v>
      </c>
      <c r="O87" s="214" t="str">
        <f t="shared" si="64"/>
        <v>F</v>
      </c>
      <c r="P87" s="214" t="str">
        <f t="shared" si="64"/>
        <v>F</v>
      </c>
      <c r="Q87" s="215" t="str">
        <f t="shared" si="64"/>
        <v>F</v>
      </c>
      <c r="R87" s="214" t="str">
        <f t="shared" si="64"/>
        <v>F</v>
      </c>
      <c r="S87" s="214" t="str">
        <f t="shared" si="64"/>
        <v>F</v>
      </c>
      <c r="T87" s="214" t="str">
        <f t="shared" si="64"/>
        <v>F</v>
      </c>
      <c r="U87" s="214" t="str">
        <f t="shared" si="64"/>
        <v>F</v>
      </c>
      <c r="V87" s="214" t="str">
        <f t="shared" si="64"/>
        <v>F</v>
      </c>
      <c r="W87" s="214" t="str">
        <f t="shared" si="64"/>
        <v>F</v>
      </c>
      <c r="X87" s="214" t="str">
        <f t="shared" si="64"/>
        <v>F</v>
      </c>
      <c r="Y87" s="214" t="str">
        <f t="shared" si="64"/>
        <v>F</v>
      </c>
      <c r="Z87" s="214" t="str">
        <f t="shared" si="64"/>
        <v>F</v>
      </c>
      <c r="AA87" s="215" t="str">
        <f t="shared" si="64"/>
        <v>F</v>
      </c>
      <c r="AB87" s="214" t="str">
        <f t="shared" si="64"/>
        <v>F</v>
      </c>
      <c r="AC87" s="214" t="str">
        <f t="shared" si="64"/>
        <v>F</v>
      </c>
      <c r="AD87" s="214" t="str">
        <f t="shared" si="64"/>
        <v>F</v>
      </c>
      <c r="AE87" s="214" t="str">
        <f t="shared" si="64"/>
        <v>F</v>
      </c>
      <c r="AF87" s="214" t="str">
        <f t="shared" si="64"/>
        <v>F</v>
      </c>
      <c r="AG87" s="214" t="str">
        <f t="shared" si="64"/>
        <v>F</v>
      </c>
      <c r="AH87" s="214" t="str">
        <f t="shared" si="64"/>
        <v>F</v>
      </c>
      <c r="AI87" s="214" t="str">
        <f t="shared" si="64"/>
        <v>F</v>
      </c>
      <c r="AJ87" s="214" t="str">
        <f t="shared" si="64"/>
        <v>F</v>
      </c>
      <c r="AK87" s="215" t="str">
        <f t="shared" si="64"/>
        <v>F</v>
      </c>
      <c r="AL87" s="214" t="str">
        <f t="shared" si="64"/>
        <v>F</v>
      </c>
      <c r="AM87" s="214" t="str">
        <f t="shared" si="64"/>
        <v>F</v>
      </c>
      <c r="AN87" s="214" t="str">
        <f t="shared" si="64"/>
        <v>F</v>
      </c>
      <c r="AO87" s="214" t="str">
        <f t="shared" si="64"/>
        <v>F</v>
      </c>
      <c r="AP87" s="214" t="str">
        <f t="shared" si="64"/>
        <v>F</v>
      </c>
      <c r="AQ87" s="214" t="str">
        <f t="shared" si="64"/>
        <v>F</v>
      </c>
      <c r="AR87" s="214" t="str">
        <f t="shared" si="64"/>
        <v>F</v>
      </c>
      <c r="AS87" s="214" t="str">
        <f t="shared" si="64"/>
        <v>F</v>
      </c>
      <c r="AT87" s="214" t="str">
        <f t="shared" si="64"/>
        <v>F</v>
      </c>
      <c r="AU87" s="215" t="str">
        <f t="shared" si="64"/>
        <v>F</v>
      </c>
      <c r="AV87" s="214" t="str">
        <f t="shared" si="64"/>
        <v>F</v>
      </c>
      <c r="AW87" s="214" t="str">
        <f t="shared" si="64"/>
        <v>F</v>
      </c>
      <c r="AX87" s="214" t="str">
        <f t="shared" si="64"/>
        <v>F</v>
      </c>
      <c r="AY87" s="214" t="str">
        <f t="shared" si="64"/>
        <v>F</v>
      </c>
      <c r="AZ87" s="214" t="str">
        <f t="shared" si="64"/>
        <v>F</v>
      </c>
      <c r="BA87" s="214" t="str">
        <f t="shared" si="64"/>
        <v>F</v>
      </c>
      <c r="BB87" s="214" t="str">
        <f t="shared" si="64"/>
        <v>F</v>
      </c>
      <c r="BC87" s="214" t="str">
        <f t="shared" si="64"/>
        <v>F</v>
      </c>
      <c r="BD87" s="214" t="str">
        <f t="shared" si="64"/>
        <v>F</v>
      </c>
      <c r="BE87" s="215" t="str">
        <f t="shared" si="64"/>
        <v>F</v>
      </c>
      <c r="BF87" s="214" t="str">
        <f t="shared" si="64"/>
        <v>F</v>
      </c>
      <c r="BG87" s="214" t="str">
        <f t="shared" si="64"/>
        <v>F</v>
      </c>
      <c r="BH87" s="214" t="str">
        <f t="shared" si="64"/>
        <v>F</v>
      </c>
      <c r="BI87" s="214" t="str">
        <f t="shared" si="64"/>
        <v>F</v>
      </c>
      <c r="BJ87" s="214" t="str">
        <f t="shared" si="64"/>
        <v>F</v>
      </c>
      <c r="BK87" s="214" t="str">
        <f t="shared" si="64"/>
        <v>F</v>
      </c>
      <c r="BL87" s="214" t="str">
        <f t="shared" si="64"/>
        <v>F</v>
      </c>
      <c r="BM87" s="214" t="str">
        <f t="shared" si="64"/>
        <v>F</v>
      </c>
      <c r="BN87" s="214" t="str">
        <f t="shared" si="64"/>
        <v>F</v>
      </c>
      <c r="BO87" s="215" t="str">
        <f t="shared" si="64"/>
        <v>F</v>
      </c>
      <c r="BP87" s="214" t="str">
        <f t="shared" si="64"/>
        <v>F</v>
      </c>
      <c r="BQ87" s="214" t="str">
        <f t="shared" si="64"/>
        <v>F</v>
      </c>
      <c r="BR87" s="214" t="str">
        <f t="shared" si="64"/>
        <v>F</v>
      </c>
      <c r="BS87" s="214" t="str">
        <f t="shared" si="64"/>
        <v>F</v>
      </c>
      <c r="BT87" s="214" t="str">
        <f t="shared" ref="BT87:DC87" si="65">IF(AND(BT$3&gt;=$E87,BT$3&lt;=$F87),"T","F")</f>
        <v>F</v>
      </c>
      <c r="BU87" s="214" t="str">
        <f t="shared" si="65"/>
        <v>F</v>
      </c>
      <c r="BV87" s="214" t="str">
        <f t="shared" si="65"/>
        <v>F</v>
      </c>
      <c r="BW87" s="214" t="str">
        <f t="shared" si="65"/>
        <v>F</v>
      </c>
      <c r="BX87" s="214" t="str">
        <f t="shared" si="65"/>
        <v>F</v>
      </c>
      <c r="BY87" s="215" t="str">
        <f t="shared" si="65"/>
        <v>F</v>
      </c>
      <c r="BZ87" s="214" t="str">
        <f t="shared" si="65"/>
        <v>F</v>
      </c>
      <c r="CA87" s="214" t="str">
        <f t="shared" si="65"/>
        <v>T</v>
      </c>
      <c r="CB87" s="214" t="str">
        <f t="shared" si="65"/>
        <v>T</v>
      </c>
      <c r="CC87" s="214" t="str">
        <f t="shared" si="65"/>
        <v>T</v>
      </c>
      <c r="CD87" s="214" t="str">
        <f t="shared" si="65"/>
        <v>T</v>
      </c>
      <c r="CE87" s="214" t="str">
        <f t="shared" si="65"/>
        <v>T</v>
      </c>
      <c r="CF87" s="214" t="str">
        <f t="shared" si="65"/>
        <v>T</v>
      </c>
      <c r="CG87" s="214" t="str">
        <f t="shared" si="65"/>
        <v>T</v>
      </c>
      <c r="CH87" s="214" t="str">
        <f t="shared" si="65"/>
        <v>F</v>
      </c>
      <c r="CI87" s="215" t="str">
        <f t="shared" si="65"/>
        <v>F</v>
      </c>
      <c r="CJ87" s="214" t="str">
        <f t="shared" si="65"/>
        <v>F</v>
      </c>
      <c r="CK87" s="214" t="str">
        <f t="shared" si="65"/>
        <v>F</v>
      </c>
      <c r="CL87" s="214" t="str">
        <f t="shared" si="65"/>
        <v>F</v>
      </c>
      <c r="CM87" s="214" t="str">
        <f t="shared" si="65"/>
        <v>F</v>
      </c>
      <c r="CN87" s="214" t="str">
        <f t="shared" si="65"/>
        <v>F</v>
      </c>
      <c r="CO87" s="214" t="str">
        <f t="shared" si="65"/>
        <v>F</v>
      </c>
      <c r="CP87" s="214" t="str">
        <f t="shared" si="65"/>
        <v>F</v>
      </c>
      <c r="CQ87" s="214" t="str">
        <f t="shared" si="65"/>
        <v>F</v>
      </c>
      <c r="CR87" s="214" t="str">
        <f t="shared" si="65"/>
        <v>F</v>
      </c>
      <c r="CS87" s="215" t="str">
        <f t="shared" si="65"/>
        <v>F</v>
      </c>
      <c r="CT87" s="214" t="str">
        <f t="shared" si="65"/>
        <v>F</v>
      </c>
      <c r="CU87" s="214" t="str">
        <f t="shared" si="65"/>
        <v>F</v>
      </c>
      <c r="CV87" s="214" t="str">
        <f t="shared" si="65"/>
        <v>F</v>
      </c>
      <c r="CW87" s="214" t="str">
        <f t="shared" si="65"/>
        <v>F</v>
      </c>
      <c r="CX87" s="214" t="str">
        <f t="shared" si="65"/>
        <v>F</v>
      </c>
      <c r="CY87" s="214" t="str">
        <f t="shared" si="65"/>
        <v>F</v>
      </c>
      <c r="CZ87" s="214" t="str">
        <f t="shared" si="65"/>
        <v>F</v>
      </c>
      <c r="DA87" s="214" t="str">
        <f t="shared" si="65"/>
        <v>F</v>
      </c>
      <c r="DB87" s="214" t="str">
        <f t="shared" si="65"/>
        <v>F</v>
      </c>
      <c r="DC87" s="216" t="str">
        <f t="shared" si="65"/>
        <v>F</v>
      </c>
    </row>
    <row r="88" spans="2:107" x14ac:dyDescent="0.2">
      <c r="B88" s="211"/>
      <c r="C88" s="609"/>
      <c r="D88" s="212"/>
      <c r="E88" s="253"/>
      <c r="F88" s="213"/>
      <c r="G88" s="226"/>
      <c r="H88" s="227"/>
      <c r="I88" s="227"/>
      <c r="J88" s="227"/>
      <c r="K88" s="227"/>
      <c r="L88" s="227"/>
      <c r="M88" s="227"/>
      <c r="N88" s="227"/>
      <c r="O88" s="227"/>
      <c r="P88" s="227"/>
      <c r="Q88" s="228"/>
      <c r="R88" s="227"/>
      <c r="S88" s="227"/>
      <c r="T88" s="227"/>
      <c r="U88" s="227"/>
      <c r="V88" s="227"/>
      <c r="W88" s="227"/>
      <c r="X88" s="227"/>
      <c r="Y88" s="227"/>
      <c r="Z88" s="227"/>
      <c r="AA88" s="228"/>
      <c r="AB88" s="227"/>
      <c r="AC88" s="227"/>
      <c r="AD88" s="227"/>
      <c r="AE88" s="227"/>
      <c r="AF88" s="227"/>
      <c r="AG88" s="227"/>
      <c r="AH88" s="227"/>
      <c r="AI88" s="227"/>
      <c r="AJ88" s="227"/>
      <c r="AK88" s="228"/>
      <c r="AL88" s="227"/>
      <c r="AM88" s="227"/>
      <c r="AN88" s="227"/>
      <c r="AO88" s="227"/>
      <c r="AP88" s="227"/>
      <c r="AQ88" s="227"/>
      <c r="AR88" s="227"/>
      <c r="AS88" s="227"/>
      <c r="AT88" s="227"/>
      <c r="AU88" s="228"/>
      <c r="AV88" s="227"/>
      <c r="AW88" s="227"/>
      <c r="AX88" s="227"/>
      <c r="AY88" s="227"/>
      <c r="AZ88" s="227"/>
      <c r="BA88" s="227"/>
      <c r="BB88" s="227"/>
      <c r="BC88" s="227"/>
      <c r="BD88" s="227"/>
      <c r="BE88" s="228"/>
      <c r="BF88" s="227"/>
      <c r="BG88" s="227"/>
      <c r="BH88" s="227"/>
      <c r="BI88" s="227"/>
      <c r="BJ88" s="227"/>
      <c r="BK88" s="227"/>
      <c r="BL88" s="227"/>
      <c r="BM88" s="227"/>
      <c r="BN88" s="227"/>
      <c r="BO88" s="228"/>
      <c r="BP88" s="227"/>
      <c r="BQ88" s="227"/>
      <c r="BR88" s="227"/>
      <c r="BS88" s="227"/>
      <c r="BT88" s="227"/>
      <c r="BU88" s="227"/>
      <c r="BV88" s="227"/>
      <c r="BW88" s="227"/>
      <c r="BX88" s="227"/>
      <c r="BY88" s="228"/>
      <c r="BZ88" s="227"/>
      <c r="CA88" s="227"/>
      <c r="CB88" s="227"/>
      <c r="CC88" s="227"/>
      <c r="CD88" s="227"/>
      <c r="CE88" s="227"/>
      <c r="CF88" s="227"/>
      <c r="CG88" s="227"/>
      <c r="CH88" s="227"/>
      <c r="CI88" s="228"/>
      <c r="CJ88" s="227"/>
      <c r="CK88" s="227"/>
      <c r="CL88" s="227"/>
      <c r="CM88" s="227"/>
      <c r="CN88" s="227"/>
      <c r="CO88" s="227"/>
      <c r="CP88" s="227"/>
      <c r="CQ88" s="227"/>
      <c r="CR88" s="227"/>
      <c r="CS88" s="228"/>
      <c r="CT88" s="227"/>
      <c r="CU88" s="227"/>
      <c r="CV88" s="227"/>
      <c r="CW88" s="227"/>
      <c r="CX88" s="227"/>
      <c r="CY88" s="227"/>
      <c r="CZ88" s="227"/>
      <c r="DA88" s="227"/>
      <c r="DB88" s="227"/>
      <c r="DC88" s="229"/>
    </row>
    <row r="89" spans="2:107" x14ac:dyDescent="0.2">
      <c r="B89" s="211"/>
      <c r="C89" s="609"/>
      <c r="D89" s="212" t="str">
        <f>'Technology Matrix'!B51</f>
        <v>Satellite Treatment - Enhanced</v>
      </c>
      <c r="E89" s="253">
        <f>'Technology Matrix'!S51</f>
        <v>75</v>
      </c>
      <c r="F89" s="213">
        <f>'Technology Matrix'!T51</f>
        <v>85</v>
      </c>
      <c r="G89" s="215" t="str">
        <f>IF(AND(G$3&gt;=$E89,G$3&lt;=$F89),"T","F")</f>
        <v>F</v>
      </c>
      <c r="H89" s="214" t="str">
        <f t="shared" ref="H89:BS89" si="66">IF(AND(H$3&gt;=$E89,H$3&lt;=$F89),"T","F")</f>
        <v>F</v>
      </c>
      <c r="I89" s="214" t="str">
        <f t="shared" si="66"/>
        <v>F</v>
      </c>
      <c r="J89" s="214" t="str">
        <f t="shared" si="66"/>
        <v>F</v>
      </c>
      <c r="K89" s="214" t="str">
        <f t="shared" si="66"/>
        <v>F</v>
      </c>
      <c r="L89" s="214" t="str">
        <f t="shared" si="66"/>
        <v>F</v>
      </c>
      <c r="M89" s="214" t="str">
        <f t="shared" si="66"/>
        <v>F</v>
      </c>
      <c r="N89" s="214" t="str">
        <f t="shared" si="66"/>
        <v>F</v>
      </c>
      <c r="O89" s="214" t="str">
        <f t="shared" si="66"/>
        <v>F</v>
      </c>
      <c r="P89" s="214" t="str">
        <f t="shared" si="66"/>
        <v>F</v>
      </c>
      <c r="Q89" s="215" t="str">
        <f t="shared" si="66"/>
        <v>F</v>
      </c>
      <c r="R89" s="214" t="str">
        <f t="shared" si="66"/>
        <v>F</v>
      </c>
      <c r="S89" s="214" t="str">
        <f t="shared" si="66"/>
        <v>F</v>
      </c>
      <c r="T89" s="214" t="str">
        <f t="shared" si="66"/>
        <v>F</v>
      </c>
      <c r="U89" s="214" t="str">
        <f t="shared" si="66"/>
        <v>F</v>
      </c>
      <c r="V89" s="214" t="str">
        <f t="shared" si="66"/>
        <v>F</v>
      </c>
      <c r="W89" s="214" t="str">
        <f t="shared" si="66"/>
        <v>F</v>
      </c>
      <c r="X89" s="214" t="str">
        <f t="shared" si="66"/>
        <v>F</v>
      </c>
      <c r="Y89" s="214" t="str">
        <f t="shared" si="66"/>
        <v>F</v>
      </c>
      <c r="Z89" s="214" t="str">
        <f t="shared" si="66"/>
        <v>F</v>
      </c>
      <c r="AA89" s="215" t="str">
        <f t="shared" si="66"/>
        <v>F</v>
      </c>
      <c r="AB89" s="214" t="str">
        <f t="shared" si="66"/>
        <v>F</v>
      </c>
      <c r="AC89" s="214" t="str">
        <f t="shared" si="66"/>
        <v>F</v>
      </c>
      <c r="AD89" s="214" t="str">
        <f t="shared" si="66"/>
        <v>F</v>
      </c>
      <c r="AE89" s="214" t="str">
        <f t="shared" si="66"/>
        <v>F</v>
      </c>
      <c r="AF89" s="214" t="str">
        <f t="shared" si="66"/>
        <v>F</v>
      </c>
      <c r="AG89" s="214" t="str">
        <f t="shared" si="66"/>
        <v>F</v>
      </c>
      <c r="AH89" s="214" t="str">
        <f t="shared" si="66"/>
        <v>F</v>
      </c>
      <c r="AI89" s="214" t="str">
        <f t="shared" si="66"/>
        <v>F</v>
      </c>
      <c r="AJ89" s="214" t="str">
        <f t="shared" si="66"/>
        <v>F</v>
      </c>
      <c r="AK89" s="215" t="str">
        <f t="shared" si="66"/>
        <v>F</v>
      </c>
      <c r="AL89" s="214" t="str">
        <f t="shared" si="66"/>
        <v>F</v>
      </c>
      <c r="AM89" s="214" t="str">
        <f t="shared" si="66"/>
        <v>F</v>
      </c>
      <c r="AN89" s="214" t="str">
        <f t="shared" si="66"/>
        <v>F</v>
      </c>
      <c r="AO89" s="214" t="str">
        <f t="shared" si="66"/>
        <v>F</v>
      </c>
      <c r="AP89" s="214" t="str">
        <f t="shared" si="66"/>
        <v>F</v>
      </c>
      <c r="AQ89" s="214" t="str">
        <f t="shared" si="66"/>
        <v>F</v>
      </c>
      <c r="AR89" s="214" t="str">
        <f t="shared" si="66"/>
        <v>F</v>
      </c>
      <c r="AS89" s="214" t="str">
        <f t="shared" si="66"/>
        <v>F</v>
      </c>
      <c r="AT89" s="214" t="str">
        <f t="shared" si="66"/>
        <v>F</v>
      </c>
      <c r="AU89" s="215" t="str">
        <f t="shared" si="66"/>
        <v>F</v>
      </c>
      <c r="AV89" s="214" t="str">
        <f t="shared" si="66"/>
        <v>F</v>
      </c>
      <c r="AW89" s="214" t="str">
        <f t="shared" si="66"/>
        <v>F</v>
      </c>
      <c r="AX89" s="214" t="str">
        <f t="shared" si="66"/>
        <v>F</v>
      </c>
      <c r="AY89" s="214" t="str">
        <f t="shared" si="66"/>
        <v>F</v>
      </c>
      <c r="AZ89" s="214" t="str">
        <f t="shared" si="66"/>
        <v>F</v>
      </c>
      <c r="BA89" s="214" t="str">
        <f t="shared" si="66"/>
        <v>F</v>
      </c>
      <c r="BB89" s="214" t="str">
        <f t="shared" si="66"/>
        <v>F</v>
      </c>
      <c r="BC89" s="214" t="str">
        <f t="shared" si="66"/>
        <v>F</v>
      </c>
      <c r="BD89" s="214" t="str">
        <f t="shared" si="66"/>
        <v>F</v>
      </c>
      <c r="BE89" s="215" t="str">
        <f t="shared" si="66"/>
        <v>F</v>
      </c>
      <c r="BF89" s="214" t="str">
        <f t="shared" si="66"/>
        <v>F</v>
      </c>
      <c r="BG89" s="214" t="str">
        <f t="shared" si="66"/>
        <v>F</v>
      </c>
      <c r="BH89" s="214" t="str">
        <f t="shared" si="66"/>
        <v>F</v>
      </c>
      <c r="BI89" s="214" t="str">
        <f t="shared" si="66"/>
        <v>F</v>
      </c>
      <c r="BJ89" s="214" t="str">
        <f t="shared" si="66"/>
        <v>F</v>
      </c>
      <c r="BK89" s="214" t="str">
        <f t="shared" si="66"/>
        <v>F</v>
      </c>
      <c r="BL89" s="214" t="str">
        <f t="shared" si="66"/>
        <v>F</v>
      </c>
      <c r="BM89" s="214" t="str">
        <f t="shared" si="66"/>
        <v>F</v>
      </c>
      <c r="BN89" s="214" t="str">
        <f t="shared" si="66"/>
        <v>F</v>
      </c>
      <c r="BO89" s="215" t="str">
        <f t="shared" si="66"/>
        <v>F</v>
      </c>
      <c r="BP89" s="214" t="str">
        <f t="shared" si="66"/>
        <v>F</v>
      </c>
      <c r="BQ89" s="214" t="str">
        <f t="shared" si="66"/>
        <v>F</v>
      </c>
      <c r="BR89" s="214" t="str">
        <f t="shared" si="66"/>
        <v>F</v>
      </c>
      <c r="BS89" s="214" t="str">
        <f t="shared" si="66"/>
        <v>F</v>
      </c>
      <c r="BT89" s="214" t="str">
        <f t="shared" ref="BT89:DC89" si="67">IF(AND(BT$3&gt;=$E89,BT$3&lt;=$F89),"T","F")</f>
        <v>F</v>
      </c>
      <c r="BU89" s="214" t="str">
        <f t="shared" si="67"/>
        <v>F</v>
      </c>
      <c r="BV89" s="214" t="str">
        <f t="shared" si="67"/>
        <v>F</v>
      </c>
      <c r="BW89" s="214" t="str">
        <f t="shared" si="67"/>
        <v>F</v>
      </c>
      <c r="BX89" s="214" t="str">
        <f t="shared" si="67"/>
        <v>F</v>
      </c>
      <c r="BY89" s="215" t="str">
        <f t="shared" si="67"/>
        <v>F</v>
      </c>
      <c r="BZ89" s="214" t="str">
        <f t="shared" si="67"/>
        <v>F</v>
      </c>
      <c r="CA89" s="214" t="str">
        <f t="shared" si="67"/>
        <v>F</v>
      </c>
      <c r="CB89" s="214" t="str">
        <f t="shared" si="67"/>
        <v>F</v>
      </c>
      <c r="CC89" s="214" t="str">
        <f t="shared" si="67"/>
        <v>F</v>
      </c>
      <c r="CD89" s="214" t="str">
        <f t="shared" si="67"/>
        <v>T</v>
      </c>
      <c r="CE89" s="214" t="str">
        <f t="shared" si="67"/>
        <v>T</v>
      </c>
      <c r="CF89" s="214" t="str">
        <f t="shared" si="67"/>
        <v>T</v>
      </c>
      <c r="CG89" s="214" t="str">
        <f t="shared" si="67"/>
        <v>T</v>
      </c>
      <c r="CH89" s="214" t="str">
        <f t="shared" si="67"/>
        <v>T</v>
      </c>
      <c r="CI89" s="215" t="str">
        <f t="shared" si="67"/>
        <v>T</v>
      </c>
      <c r="CJ89" s="214" t="str">
        <f t="shared" si="67"/>
        <v>T</v>
      </c>
      <c r="CK89" s="214" t="str">
        <f t="shared" si="67"/>
        <v>T</v>
      </c>
      <c r="CL89" s="214" t="str">
        <f t="shared" si="67"/>
        <v>T</v>
      </c>
      <c r="CM89" s="214" t="str">
        <f t="shared" si="67"/>
        <v>T</v>
      </c>
      <c r="CN89" s="214" t="str">
        <f t="shared" si="67"/>
        <v>T</v>
      </c>
      <c r="CO89" s="214" t="str">
        <f t="shared" si="67"/>
        <v>F</v>
      </c>
      <c r="CP89" s="214" t="str">
        <f t="shared" si="67"/>
        <v>F</v>
      </c>
      <c r="CQ89" s="214" t="str">
        <f t="shared" si="67"/>
        <v>F</v>
      </c>
      <c r="CR89" s="214" t="str">
        <f t="shared" si="67"/>
        <v>F</v>
      </c>
      <c r="CS89" s="215" t="str">
        <f t="shared" si="67"/>
        <v>F</v>
      </c>
      <c r="CT89" s="214" t="str">
        <f t="shared" si="67"/>
        <v>F</v>
      </c>
      <c r="CU89" s="214" t="str">
        <f t="shared" si="67"/>
        <v>F</v>
      </c>
      <c r="CV89" s="214" t="str">
        <f t="shared" si="67"/>
        <v>F</v>
      </c>
      <c r="CW89" s="214" t="str">
        <f t="shared" si="67"/>
        <v>F</v>
      </c>
      <c r="CX89" s="214" t="str">
        <f t="shared" si="67"/>
        <v>F</v>
      </c>
      <c r="CY89" s="214" t="str">
        <f t="shared" si="67"/>
        <v>F</v>
      </c>
      <c r="CZ89" s="214" t="str">
        <f t="shared" si="67"/>
        <v>F</v>
      </c>
      <c r="DA89" s="214" t="str">
        <f t="shared" si="67"/>
        <v>F</v>
      </c>
      <c r="DB89" s="214" t="str">
        <f t="shared" si="67"/>
        <v>F</v>
      </c>
      <c r="DC89" s="216" t="str">
        <f t="shared" si="67"/>
        <v>F</v>
      </c>
    </row>
    <row r="90" spans="2:107" ht="15" hidden="1" customHeight="1" x14ac:dyDescent="0.2">
      <c r="B90" s="211"/>
      <c r="D90" s="220" t="str">
        <f>'Technology Matrix'!B52</f>
        <v>Gravity Sewer</v>
      </c>
      <c r="E90" s="220">
        <f>'Technology Matrix'!S52</f>
        <v>0</v>
      </c>
      <c r="F90" s="220">
        <f>'Technology Matrix'!T52</f>
        <v>0</v>
      </c>
      <c r="G90" s="221"/>
      <c r="Q90" s="221"/>
      <c r="R90" s="222"/>
      <c r="S90" s="222"/>
      <c r="AA90" s="221"/>
      <c r="AK90" s="221"/>
      <c r="AL90" s="222"/>
      <c r="AU90" s="221"/>
      <c r="AV90" s="222"/>
      <c r="BE90" s="221"/>
      <c r="BF90" s="222"/>
      <c r="BO90" s="221"/>
      <c r="BP90" s="222"/>
      <c r="BY90" s="221"/>
      <c r="BZ90" s="222"/>
      <c r="CI90" s="221"/>
      <c r="CJ90" s="222"/>
      <c r="CS90" s="221"/>
      <c r="CT90" s="222"/>
      <c r="DC90" s="223"/>
    </row>
    <row r="91" spans="2:107" ht="15" hidden="1" customHeight="1" x14ac:dyDescent="0.2">
      <c r="B91" s="211"/>
      <c r="D91" s="220" t="str">
        <f>'Technology Matrix'!B53</f>
        <v>Low Pressure Sewer</v>
      </c>
      <c r="E91" s="220">
        <f>'Technology Matrix'!S53</f>
        <v>0</v>
      </c>
      <c r="F91" s="220">
        <f>'Technology Matrix'!T53</f>
        <v>0</v>
      </c>
      <c r="G91" s="221"/>
      <c r="Q91" s="221"/>
      <c r="R91" s="222"/>
      <c r="S91" s="222"/>
      <c r="AA91" s="221"/>
      <c r="AK91" s="221"/>
      <c r="AL91" s="222"/>
      <c r="AU91" s="221"/>
      <c r="AV91" s="222"/>
      <c r="BE91" s="221"/>
      <c r="BF91" s="222"/>
      <c r="BO91" s="221"/>
      <c r="BP91" s="222"/>
      <c r="BY91" s="221"/>
      <c r="BZ91" s="222"/>
      <c r="CI91" s="221"/>
      <c r="CJ91" s="222"/>
      <c r="CS91" s="221"/>
      <c r="CT91" s="222"/>
      <c r="DC91" s="223"/>
    </row>
    <row r="92" spans="2:107" ht="15" hidden="1" customHeight="1" x14ac:dyDescent="0.2">
      <c r="B92" s="211"/>
      <c r="D92" s="220" t="str">
        <f>'Technology Matrix'!B54</f>
        <v>Vacuum Sewer</v>
      </c>
      <c r="E92" s="220">
        <f>'Technology Matrix'!S54</f>
        <v>0</v>
      </c>
      <c r="F92" s="220">
        <f>'Technology Matrix'!T54</f>
        <v>0</v>
      </c>
      <c r="G92" s="221"/>
      <c r="Q92" s="221"/>
      <c r="R92" s="222"/>
      <c r="S92" s="222"/>
      <c r="AA92" s="221"/>
      <c r="AK92" s="221"/>
      <c r="AL92" s="222"/>
      <c r="AU92" s="221"/>
      <c r="AV92" s="222"/>
      <c r="BE92" s="221"/>
      <c r="BF92" s="222"/>
      <c r="BO92" s="221"/>
      <c r="BP92" s="222"/>
      <c r="BY92" s="221"/>
      <c r="BZ92" s="222"/>
      <c r="CI92" s="221"/>
      <c r="CJ92" s="222"/>
      <c r="CS92" s="221"/>
      <c r="CT92" s="222"/>
      <c r="DC92" s="223"/>
    </row>
    <row r="93" spans="2:107" ht="15" hidden="1" customHeight="1" x14ac:dyDescent="0.2">
      <c r="B93" s="211"/>
      <c r="D93" s="220" t="str">
        <f>'Technology Matrix'!B55</f>
        <v>Force Main</v>
      </c>
      <c r="E93" s="220">
        <f>'Technology Matrix'!S55</f>
        <v>0</v>
      </c>
      <c r="F93" s="220">
        <f>'Technology Matrix'!T55</f>
        <v>0</v>
      </c>
      <c r="G93" s="221"/>
      <c r="Q93" s="221"/>
      <c r="R93" s="222"/>
      <c r="S93" s="222"/>
      <c r="AA93" s="221"/>
      <c r="AK93" s="221"/>
      <c r="AL93" s="222"/>
      <c r="AU93" s="221"/>
      <c r="AV93" s="222"/>
      <c r="BE93" s="221"/>
      <c r="BF93" s="222"/>
      <c r="BO93" s="221"/>
      <c r="BP93" s="222"/>
      <c r="BY93" s="221"/>
      <c r="BZ93" s="222"/>
      <c r="CI93" s="221"/>
      <c r="CJ93" s="222"/>
      <c r="CS93" s="221"/>
      <c r="CT93" s="222"/>
      <c r="DC93" s="223"/>
    </row>
    <row r="94" spans="2:107" ht="15" hidden="1" customHeight="1" x14ac:dyDescent="0.2">
      <c r="B94" s="211"/>
      <c r="D94" s="220" t="str">
        <f>'Technology Matrix'!B56</f>
        <v>Pump Station</v>
      </c>
      <c r="E94" s="220">
        <f>'Technology Matrix'!S56</f>
        <v>0</v>
      </c>
      <c r="F94" s="220">
        <f>'Technology Matrix'!T56</f>
        <v>0</v>
      </c>
      <c r="G94" s="221"/>
      <c r="Q94" s="221"/>
      <c r="R94" s="222"/>
      <c r="S94" s="222"/>
      <c r="AA94" s="221"/>
      <c r="AK94" s="221"/>
      <c r="AL94" s="222"/>
      <c r="AU94" s="221"/>
      <c r="AV94" s="222"/>
      <c r="BE94" s="221"/>
      <c r="BF94" s="222"/>
      <c r="BO94" s="221"/>
      <c r="BP94" s="222"/>
      <c r="BY94" s="221"/>
      <c r="BZ94" s="222"/>
      <c r="CI94" s="221"/>
      <c r="CJ94" s="222"/>
      <c r="CS94" s="221"/>
      <c r="CT94" s="222"/>
      <c r="DC94" s="223"/>
    </row>
    <row r="95" spans="2:107" ht="15" hidden="1" customHeight="1" x14ac:dyDescent="0.2">
      <c r="B95" s="211"/>
      <c r="D95" s="220" t="str">
        <f>'Technology Matrix'!B57</f>
        <v>On-Site Pump Station</v>
      </c>
      <c r="E95" s="220">
        <f>'Technology Matrix'!S57</f>
        <v>0</v>
      </c>
      <c r="F95" s="220">
        <f>'Technology Matrix'!T57</f>
        <v>0</v>
      </c>
      <c r="G95" s="221"/>
      <c r="Q95" s="221"/>
      <c r="R95" s="222"/>
      <c r="S95" s="222"/>
      <c r="AA95" s="221"/>
      <c r="AK95" s="221"/>
      <c r="AL95" s="222"/>
      <c r="AU95" s="221"/>
      <c r="AV95" s="222"/>
      <c r="BE95" s="221"/>
      <c r="BF95" s="222"/>
      <c r="BO95" s="221"/>
      <c r="BP95" s="222"/>
      <c r="BY95" s="221"/>
      <c r="BZ95" s="222"/>
      <c r="CI95" s="221"/>
      <c r="CJ95" s="222"/>
      <c r="CS95" s="221"/>
      <c r="CT95" s="222"/>
      <c r="DC95" s="223"/>
    </row>
    <row r="96" spans="2:107" ht="15" hidden="1" customHeight="1" x14ac:dyDescent="0.2">
      <c r="B96" s="211"/>
      <c r="D96" s="220" t="str">
        <f>'Technology Matrix'!B58</f>
        <v>STEG - Collection</v>
      </c>
      <c r="E96" s="220">
        <f>'Technology Matrix'!S58</f>
        <v>0</v>
      </c>
      <c r="F96" s="220">
        <f>'Technology Matrix'!T58</f>
        <v>0</v>
      </c>
      <c r="G96" s="221"/>
      <c r="Q96" s="221"/>
      <c r="R96" s="222"/>
      <c r="S96" s="222"/>
      <c r="AA96" s="221"/>
      <c r="AK96" s="221"/>
      <c r="AL96" s="222"/>
      <c r="AU96" s="221"/>
      <c r="AV96" s="222"/>
      <c r="BE96" s="221"/>
      <c r="BF96" s="222"/>
      <c r="BO96" s="221"/>
      <c r="BP96" s="222"/>
      <c r="BY96" s="221"/>
      <c r="BZ96" s="222"/>
      <c r="CI96" s="221"/>
      <c r="CJ96" s="222"/>
      <c r="CS96" s="221"/>
      <c r="CT96" s="222"/>
      <c r="DC96" s="223"/>
    </row>
    <row r="97" spans="2:107" ht="15" hidden="1" customHeight="1" x14ac:dyDescent="0.2">
      <c r="B97" s="211"/>
      <c r="D97" s="220" t="str">
        <f>'Technology Matrix'!B59</f>
        <v>STEP - Collection</v>
      </c>
      <c r="E97" s="220">
        <f>'Technology Matrix'!S59</f>
        <v>0</v>
      </c>
      <c r="F97" s="220">
        <f>'Technology Matrix'!T59</f>
        <v>0</v>
      </c>
      <c r="G97" s="221"/>
      <c r="Q97" s="221"/>
      <c r="R97" s="222"/>
      <c r="S97" s="222"/>
      <c r="AA97" s="221"/>
      <c r="AK97" s="221"/>
      <c r="AL97" s="222"/>
      <c r="AU97" s="221"/>
      <c r="AV97" s="222"/>
      <c r="BE97" s="221"/>
      <c r="BF97" s="222"/>
      <c r="BO97" s="221"/>
      <c r="BP97" s="222"/>
      <c r="BY97" s="221"/>
      <c r="BZ97" s="222"/>
      <c r="CI97" s="221"/>
      <c r="CJ97" s="222"/>
      <c r="CS97" s="221"/>
      <c r="CT97" s="222"/>
      <c r="DC97" s="223"/>
    </row>
    <row r="98" spans="2:107" ht="15" hidden="1" customHeight="1" x14ac:dyDescent="0.2">
      <c r="B98" s="211"/>
      <c r="D98" s="220">
        <f>'Technology Matrix'!B60</f>
        <v>0</v>
      </c>
      <c r="E98" s="220">
        <f>'Technology Matrix'!S60</f>
        <v>0</v>
      </c>
      <c r="F98" s="220">
        <f>'Technology Matrix'!T60</f>
        <v>0</v>
      </c>
      <c r="G98" s="221"/>
      <c r="Q98" s="221"/>
      <c r="R98" s="222"/>
      <c r="S98" s="222"/>
      <c r="AA98" s="221"/>
      <c r="AK98" s="221"/>
      <c r="AL98" s="222"/>
      <c r="AU98" s="221"/>
      <c r="AV98" s="222"/>
      <c r="BE98" s="221"/>
      <c r="BF98" s="222"/>
      <c r="BO98" s="221"/>
      <c r="BP98" s="222"/>
      <c r="BY98" s="221"/>
      <c r="BZ98" s="222"/>
      <c r="CI98" s="221"/>
      <c r="CJ98" s="222"/>
      <c r="CS98" s="221"/>
      <c r="CT98" s="222"/>
      <c r="DC98" s="223"/>
    </row>
    <row r="99" spans="2:107" ht="15" hidden="1" customHeight="1" x14ac:dyDescent="0.2">
      <c r="B99" s="211"/>
      <c r="D99" s="220">
        <f>'Technology Matrix'!B61</f>
        <v>0</v>
      </c>
      <c r="E99" s="220">
        <f>'Technology Matrix'!S61</f>
        <v>0</v>
      </c>
      <c r="F99" s="220">
        <f>'Technology Matrix'!T61</f>
        <v>0</v>
      </c>
      <c r="G99" s="221"/>
      <c r="Q99" s="221"/>
      <c r="R99" s="222"/>
      <c r="S99" s="222"/>
      <c r="AA99" s="221"/>
      <c r="AK99" s="221"/>
      <c r="AL99" s="222"/>
      <c r="AU99" s="221"/>
      <c r="AV99" s="222"/>
      <c r="BE99" s="221"/>
      <c r="BF99" s="222"/>
      <c r="BO99" s="221"/>
      <c r="BP99" s="222"/>
      <c r="BY99" s="221"/>
      <c r="BZ99" s="222"/>
      <c r="CI99" s="221"/>
      <c r="CJ99" s="222"/>
      <c r="CS99" s="221"/>
      <c r="CT99" s="222"/>
      <c r="DC99" s="223"/>
    </row>
    <row r="100" spans="2:107" ht="15" hidden="1" customHeight="1" x14ac:dyDescent="0.2">
      <c r="B100" s="211"/>
      <c r="D100" s="220" t="str">
        <f>'Technology Matrix'!B62</f>
        <v>Effluent Disposal - Drip Irrigation</v>
      </c>
      <c r="E100" s="220">
        <f>'Technology Matrix'!S62</f>
        <v>0</v>
      </c>
      <c r="F100" s="220">
        <f>'Technology Matrix'!T62</f>
        <v>0</v>
      </c>
      <c r="G100" s="221"/>
      <c r="Q100" s="221"/>
      <c r="R100" s="222"/>
      <c r="S100" s="222"/>
      <c r="AA100" s="221"/>
      <c r="AK100" s="221"/>
      <c r="AL100" s="222"/>
      <c r="AU100" s="221"/>
      <c r="AV100" s="222"/>
      <c r="BE100" s="221"/>
      <c r="BF100" s="222"/>
      <c r="BO100" s="221"/>
      <c r="BP100" s="222"/>
      <c r="BY100" s="221"/>
      <c r="BZ100" s="222"/>
      <c r="CI100" s="221"/>
      <c r="CJ100" s="222"/>
      <c r="CS100" s="221"/>
      <c r="CT100" s="222"/>
      <c r="DC100" s="223"/>
    </row>
    <row r="101" spans="2:107" ht="15" hidden="1" customHeight="1" x14ac:dyDescent="0.2">
      <c r="B101" s="211"/>
      <c r="D101" s="220" t="str">
        <f>'Technology Matrix'!B63</f>
        <v>Effluent Disposal - Infiltration Basins</v>
      </c>
      <c r="E101" s="220">
        <f>'Technology Matrix'!S63</f>
        <v>0</v>
      </c>
      <c r="F101" s="220">
        <f>'Technology Matrix'!T63</f>
        <v>0</v>
      </c>
      <c r="G101" s="221"/>
      <c r="Q101" s="221"/>
      <c r="R101" s="222"/>
      <c r="S101" s="222"/>
      <c r="AA101" s="221"/>
      <c r="AK101" s="221"/>
      <c r="AL101" s="222"/>
      <c r="AU101" s="221"/>
      <c r="AV101" s="222"/>
      <c r="BE101" s="221"/>
      <c r="BF101" s="222"/>
      <c r="BO101" s="221"/>
      <c r="BP101" s="222"/>
      <c r="BY101" s="221"/>
      <c r="BZ101" s="222"/>
      <c r="CI101" s="221"/>
      <c r="CJ101" s="222"/>
      <c r="CS101" s="221"/>
      <c r="CT101" s="222"/>
      <c r="DC101" s="223"/>
    </row>
    <row r="102" spans="2:107" ht="15" hidden="1" customHeight="1" x14ac:dyDescent="0.2">
      <c r="B102" s="211"/>
      <c r="D102" s="220" t="str">
        <f>'Technology Matrix'!B64</f>
        <v>Effluent Disposal - Soil Absorption System (SAS)</v>
      </c>
      <c r="E102" s="220">
        <f>'Technology Matrix'!S64</f>
        <v>0</v>
      </c>
      <c r="F102" s="220">
        <f>'Technology Matrix'!T64</f>
        <v>0</v>
      </c>
      <c r="G102" s="221"/>
      <c r="Q102" s="221"/>
      <c r="R102" s="222"/>
      <c r="S102" s="222"/>
      <c r="AA102" s="221"/>
      <c r="AK102" s="221"/>
      <c r="AL102" s="222"/>
      <c r="AU102" s="221"/>
      <c r="AV102" s="222"/>
      <c r="BE102" s="221"/>
      <c r="BF102" s="222"/>
      <c r="BO102" s="221"/>
      <c r="BP102" s="222"/>
      <c r="BY102" s="221"/>
      <c r="BZ102" s="222"/>
      <c r="CI102" s="221"/>
      <c r="CJ102" s="222"/>
      <c r="CS102" s="221"/>
      <c r="CT102" s="222"/>
      <c r="DC102" s="223"/>
    </row>
    <row r="103" spans="2:107" ht="15" hidden="1" customHeight="1" x14ac:dyDescent="0.2">
      <c r="B103" s="211"/>
      <c r="D103" s="220" t="str">
        <f>'Technology Matrix'!B65</f>
        <v>Bottomless Sand Filters</v>
      </c>
      <c r="E103" s="220">
        <f>'Technology Matrix'!S65</f>
        <v>0</v>
      </c>
      <c r="F103" s="220">
        <f>'Technology Matrix'!T65</f>
        <v>0</v>
      </c>
      <c r="G103" s="221"/>
      <c r="Q103" s="221"/>
      <c r="R103" s="222"/>
      <c r="S103" s="222"/>
      <c r="AA103" s="221"/>
      <c r="AK103" s="221"/>
      <c r="AL103" s="222"/>
      <c r="AU103" s="221"/>
      <c r="AV103" s="222"/>
      <c r="BE103" s="221"/>
      <c r="BF103" s="222"/>
      <c r="BO103" s="221"/>
      <c r="BP103" s="222"/>
      <c r="BY103" s="221"/>
      <c r="BZ103" s="222"/>
      <c r="CI103" s="221"/>
      <c r="CJ103" s="222"/>
      <c r="CS103" s="221"/>
      <c r="CT103" s="222"/>
      <c r="DC103" s="223"/>
    </row>
    <row r="104" spans="2:107" ht="15" hidden="1" customHeight="1" x14ac:dyDescent="0.2">
      <c r="B104" s="211"/>
      <c r="D104" s="220" t="str">
        <f>'Technology Matrix'!B66</f>
        <v>Vegetated Sand Filters</v>
      </c>
      <c r="E104" s="220">
        <f>'Technology Matrix'!S66</f>
        <v>0</v>
      </c>
      <c r="F104" s="220">
        <f>'Technology Matrix'!T66</f>
        <v>0</v>
      </c>
      <c r="G104" s="221"/>
      <c r="Q104" s="221"/>
      <c r="R104" s="222"/>
      <c r="S104" s="222"/>
      <c r="AA104" s="221"/>
      <c r="AK104" s="221"/>
      <c r="AL104" s="222"/>
      <c r="AU104" s="221"/>
      <c r="AV104" s="222"/>
      <c r="BE104" s="221"/>
      <c r="BF104" s="222"/>
      <c r="BO104" s="221"/>
      <c r="BP104" s="222"/>
      <c r="BY104" s="221"/>
      <c r="BZ104" s="222"/>
      <c r="CI104" s="221"/>
      <c r="CJ104" s="222"/>
      <c r="CS104" s="221"/>
      <c r="CT104" s="222"/>
      <c r="DC104" s="223"/>
    </row>
    <row r="105" spans="2:107" ht="15" hidden="1" customHeight="1" x14ac:dyDescent="0.2">
      <c r="B105" s="211"/>
      <c r="D105" s="220" t="str">
        <f>'Technology Matrix'!B67</f>
        <v>Effluent Disposal - Injection Well</v>
      </c>
      <c r="E105" s="220">
        <f>'Technology Matrix'!S67</f>
        <v>0</v>
      </c>
      <c r="F105" s="220">
        <f>'Technology Matrix'!T67</f>
        <v>0</v>
      </c>
      <c r="G105" s="221"/>
      <c r="Q105" s="221"/>
      <c r="R105" s="222"/>
      <c r="S105" s="222"/>
      <c r="AA105" s="221"/>
      <c r="AK105" s="221"/>
      <c r="AL105" s="222"/>
      <c r="AU105" s="221"/>
      <c r="AV105" s="222"/>
      <c r="BE105" s="221"/>
      <c r="BF105" s="222"/>
      <c r="BO105" s="221"/>
      <c r="BP105" s="222"/>
      <c r="BY105" s="221"/>
      <c r="BZ105" s="222"/>
      <c r="CI105" s="221"/>
      <c r="CJ105" s="222"/>
      <c r="CS105" s="221"/>
      <c r="CT105" s="222"/>
      <c r="DC105" s="223"/>
    </row>
    <row r="106" spans="2:107" ht="15" hidden="1" customHeight="1" x14ac:dyDescent="0.2">
      <c r="B106" s="211"/>
      <c r="D106" s="220" t="str">
        <f>'Technology Matrix'!B68</f>
        <v>Effluent Disposal - Wick Well</v>
      </c>
      <c r="E106" s="220">
        <f>'Technology Matrix'!S68</f>
        <v>0</v>
      </c>
      <c r="F106" s="220">
        <f>'Technology Matrix'!T68</f>
        <v>0</v>
      </c>
      <c r="G106" s="221"/>
      <c r="Q106" s="221"/>
      <c r="R106" s="222"/>
      <c r="S106" s="222"/>
      <c r="AA106" s="221"/>
      <c r="AK106" s="221"/>
      <c r="AL106" s="222"/>
      <c r="AU106" s="221"/>
      <c r="AV106" s="222"/>
      <c r="BE106" s="221"/>
      <c r="BF106" s="222"/>
      <c r="BO106" s="221"/>
      <c r="BP106" s="222"/>
      <c r="BY106" s="221"/>
      <c r="BZ106" s="222"/>
      <c r="CI106" s="221"/>
      <c r="CJ106" s="222"/>
      <c r="CS106" s="221"/>
      <c r="CT106" s="222"/>
      <c r="DC106" s="223"/>
    </row>
    <row r="107" spans="2:107" ht="15" hidden="1" customHeight="1" x14ac:dyDescent="0.2">
      <c r="B107" s="211"/>
      <c r="D107" s="220" t="str">
        <f>'Technology Matrix'!B69</f>
        <v>Effluent Disposal - Ocean Outfall</v>
      </c>
      <c r="E107" s="220">
        <f>'Technology Matrix'!S69</f>
        <v>100</v>
      </c>
      <c r="F107" s="220">
        <f>'Technology Matrix'!T69</f>
        <v>100</v>
      </c>
      <c r="G107" s="221"/>
      <c r="Q107" s="221"/>
      <c r="R107" s="222"/>
      <c r="S107" s="222"/>
      <c r="AA107" s="221"/>
      <c r="AK107" s="221"/>
      <c r="AL107" s="222"/>
      <c r="AU107" s="221"/>
      <c r="AV107" s="222"/>
      <c r="BE107" s="221"/>
      <c r="BF107" s="222"/>
      <c r="BO107" s="221"/>
      <c r="BP107" s="222"/>
      <c r="BY107" s="221"/>
      <c r="BZ107" s="222"/>
      <c r="CI107" s="221"/>
      <c r="CJ107" s="222"/>
      <c r="CS107" s="221"/>
      <c r="CT107" s="222"/>
      <c r="DC107" s="223"/>
    </row>
    <row r="108" spans="2:107" ht="15" hidden="1" customHeight="1" x14ac:dyDescent="0.2">
      <c r="B108" s="211"/>
      <c r="D108" s="220" t="str">
        <f>'Technology Matrix'!B70</f>
        <v>Effluent Transport out of Watershed to Recharge, Reuse Facility or Ocean Outfall</v>
      </c>
      <c r="E108" s="220">
        <f>'Technology Matrix'!S70</f>
        <v>100</v>
      </c>
      <c r="F108" s="220">
        <f>'Technology Matrix'!T70</f>
        <v>100</v>
      </c>
      <c r="G108" s="221"/>
      <c r="Q108" s="221"/>
      <c r="R108" s="222"/>
      <c r="S108" s="222"/>
      <c r="AA108" s="221"/>
      <c r="AK108" s="221"/>
      <c r="AL108" s="222"/>
      <c r="AU108" s="221"/>
      <c r="AV108" s="222"/>
      <c r="BE108" s="221"/>
      <c r="BF108" s="222"/>
      <c r="BO108" s="221"/>
      <c r="BP108" s="222"/>
      <c r="BY108" s="221"/>
      <c r="BZ108" s="222"/>
      <c r="CI108" s="221"/>
      <c r="CJ108" s="222"/>
      <c r="CS108" s="221"/>
      <c r="CT108" s="222"/>
      <c r="DC108" s="223"/>
    </row>
    <row r="109" spans="2:107" ht="15" hidden="1" customHeight="1" x14ac:dyDescent="0.2">
      <c r="B109" s="211"/>
      <c r="D109" s="220" t="str">
        <f>'Technology Matrix'!B72</f>
        <v>Next Generation On-site System Technologies
(currently under development)</v>
      </c>
      <c r="E109" s="220">
        <f>'Technology Matrix'!S72</f>
        <v>0</v>
      </c>
      <c r="F109" s="220">
        <f>'Technology Matrix'!T72</f>
        <v>0</v>
      </c>
      <c r="G109" s="221"/>
      <c r="Q109" s="221"/>
      <c r="R109" s="222"/>
      <c r="S109" s="222"/>
      <c r="AA109" s="221"/>
      <c r="AK109" s="221"/>
      <c r="AL109" s="222"/>
      <c r="AU109" s="221"/>
      <c r="AV109" s="222"/>
      <c r="BE109" s="221"/>
      <c r="BF109" s="222"/>
      <c r="BO109" s="221"/>
      <c r="BP109" s="222"/>
      <c r="BY109" s="221"/>
      <c r="BZ109" s="222"/>
      <c r="CI109" s="221"/>
      <c r="CJ109" s="222"/>
      <c r="CS109" s="221"/>
      <c r="CT109" s="222"/>
      <c r="DC109" s="223"/>
    </row>
    <row r="110" spans="2:107" ht="15" hidden="1" customHeight="1" x14ac:dyDescent="0.2">
      <c r="B110" s="211"/>
      <c r="D110" s="220">
        <f>'Technology Matrix'!B73</f>
        <v>0</v>
      </c>
      <c r="E110" s="220">
        <f>'Technology Matrix'!S73</f>
        <v>70</v>
      </c>
      <c r="F110" s="220">
        <f>'Technology Matrix'!T73</f>
        <v>90</v>
      </c>
      <c r="G110" s="221"/>
      <c r="Q110" s="221"/>
      <c r="R110" s="222"/>
      <c r="S110" s="222"/>
      <c r="AA110" s="221"/>
      <c r="AK110" s="221"/>
      <c r="AL110" s="222"/>
      <c r="AU110" s="221"/>
      <c r="AV110" s="222"/>
      <c r="BE110" s="221"/>
      <c r="BF110" s="222"/>
      <c r="BO110" s="221"/>
      <c r="BP110" s="222"/>
      <c r="BY110" s="221"/>
      <c r="BZ110" s="222"/>
      <c r="CI110" s="221"/>
      <c r="CJ110" s="222"/>
      <c r="CS110" s="221"/>
      <c r="CT110" s="222"/>
      <c r="DC110" s="223"/>
    </row>
    <row r="111" spans="2:107" ht="15" hidden="1" customHeight="1" x14ac:dyDescent="0.2">
      <c r="B111" s="211"/>
      <c r="D111" s="220">
        <f>'Technology Matrix'!B74</f>
        <v>0</v>
      </c>
      <c r="E111" s="220">
        <f>'Technology Matrix'!S74</f>
        <v>90</v>
      </c>
      <c r="F111" s="220">
        <f>'Technology Matrix'!T74</f>
        <v>95</v>
      </c>
      <c r="G111" s="221"/>
      <c r="Q111" s="221"/>
      <c r="R111" s="222"/>
      <c r="S111" s="222"/>
      <c r="AA111" s="221"/>
      <c r="AK111" s="221"/>
      <c r="AL111" s="222"/>
      <c r="AU111" s="221"/>
      <c r="AV111" s="222"/>
      <c r="BE111" s="221"/>
      <c r="BF111" s="222"/>
      <c r="BO111" s="221"/>
      <c r="BP111" s="222"/>
      <c r="BY111" s="221"/>
      <c r="BZ111" s="222"/>
      <c r="CI111" s="221"/>
      <c r="CJ111" s="222"/>
      <c r="CS111" s="221"/>
      <c r="CT111" s="222"/>
      <c r="DC111" s="223"/>
    </row>
    <row r="112" spans="2:107" ht="15" hidden="1" customHeight="1" x14ac:dyDescent="0.2">
      <c r="B112" s="211"/>
      <c r="D112" s="220">
        <f>'Technology Matrix'!B75</f>
        <v>0</v>
      </c>
      <c r="E112" s="220">
        <f>'Technology Matrix'!S75</f>
        <v>70</v>
      </c>
      <c r="F112" s="220">
        <f>'Technology Matrix'!T75</f>
        <v>80</v>
      </c>
      <c r="G112" s="221"/>
      <c r="Q112" s="221"/>
      <c r="R112" s="222"/>
      <c r="S112" s="222"/>
      <c r="AA112" s="221"/>
      <c r="AK112" s="221"/>
      <c r="AL112" s="222"/>
      <c r="AU112" s="221"/>
      <c r="AV112" s="222"/>
      <c r="BE112" s="221"/>
      <c r="BF112" s="222"/>
      <c r="BO112" s="221"/>
      <c r="BP112" s="222"/>
      <c r="BY112" s="221"/>
      <c r="BZ112" s="222"/>
      <c r="CI112" s="221"/>
      <c r="CJ112" s="222"/>
      <c r="CS112" s="221"/>
      <c r="CT112" s="222"/>
      <c r="DC112" s="223"/>
    </row>
    <row r="113" spans="2:107" ht="15" hidden="1" customHeight="1" x14ac:dyDescent="0.2">
      <c r="B113" s="211"/>
      <c r="D113" s="220" t="str">
        <f>'Technology Matrix'!B76</f>
        <v>Small Scale MBR</v>
      </c>
      <c r="E113" s="220">
        <f>'Technology Matrix'!S76</f>
        <v>30</v>
      </c>
      <c r="F113" s="220">
        <f>'Technology Matrix'!T76</f>
        <v>80</v>
      </c>
      <c r="G113" s="221"/>
      <c r="Q113" s="221"/>
      <c r="R113" s="222"/>
      <c r="S113" s="222"/>
      <c r="AA113" s="221"/>
      <c r="AK113" s="221"/>
      <c r="AL113" s="222"/>
      <c r="AU113" s="221"/>
      <c r="AV113" s="222"/>
      <c r="BE113" s="221"/>
      <c r="BF113" s="222"/>
      <c r="BO113" s="221"/>
      <c r="BP113" s="222"/>
      <c r="BY113" s="221"/>
      <c r="BZ113" s="222"/>
      <c r="CI113" s="221"/>
      <c r="CJ113" s="222"/>
      <c r="CS113" s="221"/>
      <c r="CT113" s="222"/>
      <c r="DC113" s="223"/>
    </row>
    <row r="114" spans="2:107" ht="15" hidden="1" customHeight="1" x14ac:dyDescent="0.2">
      <c r="B114" s="211"/>
      <c r="D114" s="220" t="str">
        <f>'Technology Matrix'!B77</f>
        <v>On-Site Grey Water Treatment</v>
      </c>
      <c r="E114" s="220">
        <f>'Technology Matrix'!S77</f>
        <v>0</v>
      </c>
      <c r="F114" s="220">
        <f>'Technology Matrix'!T77</f>
        <v>0</v>
      </c>
      <c r="G114" s="221"/>
      <c r="Q114" s="221"/>
      <c r="R114" s="222"/>
      <c r="S114" s="222"/>
      <c r="AA114" s="221"/>
      <c r="AK114" s="221"/>
      <c r="AL114" s="222"/>
      <c r="AU114" s="221"/>
      <c r="AV114" s="222"/>
      <c r="BE114" s="221"/>
      <c r="BF114" s="222"/>
      <c r="BO114" s="221"/>
      <c r="BP114" s="222"/>
      <c r="BY114" s="221"/>
      <c r="BZ114" s="222"/>
      <c r="CI114" s="221"/>
      <c r="CJ114" s="222"/>
      <c r="CS114" s="221"/>
      <c r="CT114" s="222"/>
      <c r="DC114" s="223"/>
    </row>
    <row r="115" spans="2:107" ht="15" hidden="1" customHeight="1" x14ac:dyDescent="0.2">
      <c r="B115" s="211"/>
      <c r="D115" s="220" t="str">
        <f>'Technology Matrix'!B78</f>
        <v>Digester and Combined Heat Power Unit</v>
      </c>
      <c r="E115" s="220">
        <f>'Technology Matrix'!S78</f>
        <v>0</v>
      </c>
      <c r="F115" s="220">
        <f>'Technology Matrix'!T78</f>
        <v>0</v>
      </c>
      <c r="G115" s="221"/>
      <c r="Q115" s="221"/>
      <c r="R115" s="222"/>
      <c r="S115" s="222"/>
      <c r="AA115" s="221"/>
      <c r="AK115" s="221"/>
      <c r="AL115" s="222"/>
      <c r="AU115" s="221"/>
      <c r="AV115" s="222"/>
      <c r="BE115" s="221"/>
      <c r="BF115" s="222"/>
      <c r="BO115" s="221"/>
      <c r="BP115" s="222"/>
      <c r="BY115" s="221"/>
      <c r="BZ115" s="222"/>
      <c r="CI115" s="221"/>
      <c r="CJ115" s="222"/>
      <c r="CS115" s="221"/>
      <c r="CT115" s="222"/>
      <c r="DC115" s="223"/>
    </row>
    <row r="116" spans="2:107" ht="15" hidden="1" customHeight="1" x14ac:dyDescent="0.2">
      <c r="B116" s="211"/>
      <c r="D116" s="220" t="str">
        <f>'Technology Matrix'!B79</f>
        <v>Switch from Fuels that Deliver Nitrogen to Watersheds</v>
      </c>
      <c r="E116" s="220">
        <f>'Technology Matrix'!S79</f>
        <v>0</v>
      </c>
      <c r="F116" s="220">
        <f>'Technology Matrix'!T79</f>
        <v>0</v>
      </c>
      <c r="G116" s="221"/>
      <c r="Q116" s="221"/>
      <c r="R116" s="222"/>
      <c r="S116" s="222"/>
      <c r="AA116" s="221"/>
      <c r="AK116" s="221"/>
      <c r="AL116" s="222"/>
      <c r="AU116" s="221"/>
      <c r="AV116" s="222"/>
      <c r="BE116" s="221"/>
      <c r="BF116" s="222"/>
      <c r="BO116" s="221"/>
      <c r="BP116" s="222"/>
      <c r="BY116" s="221"/>
      <c r="BZ116" s="222"/>
      <c r="CI116" s="221"/>
      <c r="CJ116" s="222"/>
      <c r="CS116" s="221"/>
      <c r="CT116" s="222"/>
      <c r="DC116" s="223"/>
    </row>
    <row r="117" spans="2:107" ht="15" hidden="1" customHeight="1" x14ac:dyDescent="0.2">
      <c r="B117" s="211"/>
      <c r="D117" s="220" t="str">
        <f>'Technology Matrix'!B80</f>
        <v>Septage Processing</v>
      </c>
      <c r="E117" s="220">
        <f>'Technology Matrix'!S80</f>
        <v>0</v>
      </c>
      <c r="F117" s="220">
        <f>'Technology Matrix'!T80</f>
        <v>0</v>
      </c>
      <c r="G117" s="221"/>
      <c r="Q117" s="221"/>
      <c r="R117" s="222"/>
      <c r="S117" s="222"/>
      <c r="AA117" s="221"/>
      <c r="AK117" s="221"/>
      <c r="AL117" s="222"/>
      <c r="AU117" s="221"/>
      <c r="AV117" s="222"/>
      <c r="BE117" s="221"/>
      <c r="BF117" s="222"/>
      <c r="BO117" s="221"/>
      <c r="BP117" s="222"/>
      <c r="BY117" s="221"/>
      <c r="BZ117" s="222"/>
      <c r="CI117" s="221"/>
      <c r="CJ117" s="222"/>
      <c r="CS117" s="221"/>
      <c r="CT117" s="222"/>
      <c r="DC117" s="223"/>
    </row>
    <row r="118" spans="2:107" ht="15" hidden="1" customHeight="1" x14ac:dyDescent="0.2">
      <c r="B118" s="211"/>
      <c r="D118" s="220" t="str">
        <f>'Technology Matrix'!B81</f>
        <v>Commercial Disposal</v>
      </c>
      <c r="E118" s="220">
        <f>'Technology Matrix'!S81</f>
        <v>0</v>
      </c>
      <c r="F118" s="220">
        <f>'Technology Matrix'!T81</f>
        <v>0</v>
      </c>
      <c r="G118" s="221"/>
      <c r="Q118" s="221"/>
      <c r="R118" s="222"/>
      <c r="S118" s="222"/>
      <c r="AA118" s="221"/>
      <c r="AK118" s="221"/>
      <c r="AL118" s="222"/>
      <c r="AU118" s="221"/>
      <c r="AV118" s="222"/>
      <c r="BE118" s="221"/>
      <c r="BF118" s="222"/>
      <c r="BO118" s="221"/>
      <c r="BP118" s="222"/>
      <c r="BY118" s="221"/>
      <c r="BZ118" s="222"/>
      <c r="CI118" s="221"/>
      <c r="CJ118" s="222"/>
      <c r="CS118" s="221"/>
      <c r="CT118" s="222"/>
      <c r="DC118" s="223"/>
    </row>
    <row r="119" spans="2:107" ht="15" hidden="1" customHeight="1" x14ac:dyDescent="0.2">
      <c r="B119" s="211"/>
      <c r="D119" s="220" t="str">
        <f>'Technology Matrix'!B82</f>
        <v>Dewater and Haul to Landfill</v>
      </c>
      <c r="E119" s="220">
        <f>'Technology Matrix'!S82</f>
        <v>0</v>
      </c>
      <c r="F119" s="220">
        <f>'Technology Matrix'!T82</f>
        <v>0</v>
      </c>
      <c r="G119" s="221"/>
      <c r="Q119" s="221"/>
      <c r="R119" s="222"/>
      <c r="S119" s="222"/>
      <c r="AA119" s="221"/>
      <c r="AK119" s="221"/>
      <c r="AL119" s="222"/>
      <c r="AU119" s="221"/>
      <c r="AV119" s="222"/>
      <c r="BE119" s="221"/>
      <c r="BF119" s="222"/>
      <c r="BO119" s="221"/>
      <c r="BP119" s="222"/>
      <c r="BY119" s="221"/>
      <c r="BZ119" s="222"/>
      <c r="CI119" s="221"/>
      <c r="CJ119" s="222"/>
      <c r="CS119" s="221"/>
      <c r="CT119" s="222"/>
      <c r="DC119" s="223"/>
    </row>
    <row r="120" spans="2:107" ht="15" hidden="1" customHeight="1" x14ac:dyDescent="0.2">
      <c r="B120" s="211"/>
      <c r="D120" s="220" t="str">
        <f>'Technology Matrix'!B83</f>
        <v>Composting</v>
      </c>
      <c r="E120" s="220">
        <f>'Technology Matrix'!S83</f>
        <v>0</v>
      </c>
      <c r="F120" s="220">
        <f>'Technology Matrix'!T83</f>
        <v>0</v>
      </c>
      <c r="G120" s="221"/>
      <c r="Q120" s="221"/>
      <c r="R120" s="222"/>
      <c r="S120" s="222"/>
      <c r="AA120" s="221"/>
      <c r="AK120" s="221"/>
      <c r="AL120" s="222"/>
      <c r="AU120" s="221"/>
      <c r="AV120" s="222"/>
      <c r="BE120" s="221"/>
      <c r="BF120" s="222"/>
      <c r="BO120" s="221"/>
      <c r="BP120" s="222"/>
      <c r="BY120" s="221"/>
      <c r="BZ120" s="222"/>
      <c r="CI120" s="221"/>
      <c r="CJ120" s="222"/>
      <c r="CS120" s="221"/>
      <c r="CT120" s="222"/>
      <c r="DC120" s="223"/>
    </row>
    <row r="121" spans="2:107" ht="15" hidden="1" customHeight="1" x14ac:dyDescent="0.2">
      <c r="B121" s="211"/>
      <c r="D121" s="220" t="str">
        <f>'Technology Matrix'!B84</f>
        <v>Incineration</v>
      </c>
      <c r="E121" s="220">
        <f>'Technology Matrix'!S84</f>
        <v>0</v>
      </c>
      <c r="F121" s="220">
        <f>'Technology Matrix'!T84</f>
        <v>0</v>
      </c>
      <c r="G121" s="221"/>
      <c r="Q121" s="221"/>
      <c r="R121" s="222"/>
      <c r="S121" s="222"/>
      <c r="AA121" s="221"/>
      <c r="AK121" s="221"/>
      <c r="AL121" s="222"/>
      <c r="AU121" s="221"/>
      <c r="AV121" s="222"/>
      <c r="BE121" s="221"/>
      <c r="BF121" s="222"/>
      <c r="BO121" s="221"/>
      <c r="BP121" s="222"/>
      <c r="BY121" s="221"/>
      <c r="BZ121" s="222"/>
      <c r="CI121" s="221"/>
      <c r="CJ121" s="222"/>
      <c r="CS121" s="221"/>
      <c r="CT121" s="222"/>
      <c r="DC121" s="223"/>
    </row>
    <row r="122" spans="2:107" ht="15" hidden="1" customHeight="1" x14ac:dyDescent="0.2">
      <c r="B122" s="211"/>
      <c r="D122" s="220" t="str">
        <f>'Technology Matrix'!B85</f>
        <v>Lime Stabilization</v>
      </c>
      <c r="E122" s="220">
        <f>'Technology Matrix'!S85</f>
        <v>0</v>
      </c>
      <c r="F122" s="220">
        <f>'Technology Matrix'!T85</f>
        <v>0</v>
      </c>
      <c r="G122" s="221"/>
      <c r="Q122" s="221"/>
      <c r="R122" s="222"/>
      <c r="S122" s="222"/>
      <c r="AA122" s="221"/>
      <c r="AK122" s="221"/>
      <c r="AL122" s="222"/>
      <c r="AU122" s="221"/>
      <c r="AV122" s="222"/>
      <c r="BE122" s="221"/>
      <c r="BF122" s="222"/>
      <c r="BO122" s="221"/>
      <c r="BP122" s="222"/>
      <c r="BY122" s="221"/>
      <c r="BZ122" s="222"/>
      <c r="CI122" s="221"/>
      <c r="CJ122" s="222"/>
      <c r="CS122" s="221"/>
      <c r="CT122" s="222"/>
      <c r="DC122" s="223"/>
    </row>
    <row r="123" spans="2:107" ht="15" hidden="1" customHeight="1" x14ac:dyDescent="0.2">
      <c r="B123" s="211"/>
      <c r="D123" s="220" t="str">
        <f>'Technology Matrix'!B86</f>
        <v>Digestion</v>
      </c>
      <c r="E123" s="220">
        <f>'Technology Matrix'!S86</f>
        <v>0</v>
      </c>
      <c r="F123" s="220">
        <f>'Technology Matrix'!T86</f>
        <v>0</v>
      </c>
      <c r="G123" s="221"/>
      <c r="Q123" s="221"/>
      <c r="R123" s="222"/>
      <c r="S123" s="222"/>
      <c r="AA123" s="221"/>
      <c r="AK123" s="221"/>
      <c r="AL123" s="222"/>
      <c r="AU123" s="221"/>
      <c r="AV123" s="222"/>
      <c r="BE123" s="221"/>
      <c r="BF123" s="222"/>
      <c r="BO123" s="221"/>
      <c r="BP123" s="222"/>
      <c r="BY123" s="221"/>
      <c r="BZ123" s="222"/>
      <c r="CI123" s="221"/>
      <c r="CJ123" s="222"/>
      <c r="CS123" s="221"/>
      <c r="CT123" s="222"/>
      <c r="DC123" s="223"/>
    </row>
    <row r="124" spans="2:107" ht="15" hidden="1" customHeight="1" x14ac:dyDescent="0.2">
      <c r="B124" s="211"/>
      <c r="D124" s="220">
        <f>'Technology Matrix'!B87</f>
        <v>0</v>
      </c>
      <c r="E124" s="220">
        <f>'Technology Matrix'!S87</f>
        <v>0</v>
      </c>
      <c r="F124" s="220">
        <f>'Technology Matrix'!T87</f>
        <v>0</v>
      </c>
      <c r="G124" s="221"/>
      <c r="Q124" s="221"/>
      <c r="R124" s="222"/>
      <c r="S124" s="222"/>
      <c r="AA124" s="221"/>
      <c r="AK124" s="221"/>
      <c r="AL124" s="222"/>
      <c r="AU124" s="221"/>
      <c r="AV124" s="222"/>
      <c r="BE124" s="221"/>
      <c r="BF124" s="222"/>
      <c r="BO124" s="221"/>
      <c r="BP124" s="222"/>
      <c r="BY124" s="221"/>
      <c r="BZ124" s="222"/>
      <c r="CI124" s="221"/>
      <c r="CJ124" s="222"/>
      <c r="CS124" s="221"/>
      <c r="CT124" s="222"/>
      <c r="DC124" s="223"/>
    </row>
    <row r="125" spans="2:107" ht="15" hidden="1" customHeight="1" x14ac:dyDescent="0.2">
      <c r="B125" s="211"/>
      <c r="D125" s="220" t="str">
        <f>'Technology Matrix'!B88</f>
        <v>Thermal Drying</v>
      </c>
      <c r="E125" s="220">
        <f>'Technology Matrix'!S88</f>
        <v>0</v>
      </c>
      <c r="F125" s="220">
        <f>'Technology Matrix'!T88</f>
        <v>0</v>
      </c>
      <c r="G125" s="221"/>
      <c r="Q125" s="221"/>
      <c r="R125" s="222"/>
      <c r="S125" s="222"/>
      <c r="AA125" s="221"/>
      <c r="AK125" s="221"/>
      <c r="AL125" s="222"/>
      <c r="AU125" s="221"/>
      <c r="AV125" s="222"/>
      <c r="BE125" s="221"/>
      <c r="BF125" s="222"/>
      <c r="BO125" s="221"/>
      <c r="BP125" s="222"/>
      <c r="BY125" s="221"/>
      <c r="BZ125" s="222"/>
      <c r="CI125" s="221"/>
      <c r="CJ125" s="222"/>
      <c r="CS125" s="221"/>
      <c r="CT125" s="222"/>
      <c r="DC125" s="223"/>
    </row>
    <row r="126" spans="2:107" ht="15" hidden="1" customHeight="1" x14ac:dyDescent="0.2">
      <c r="B126" s="211"/>
      <c r="D126" s="220" t="str">
        <f>'Technology Matrix'!B89</f>
        <v>Drying and Gasification</v>
      </c>
      <c r="E126" s="220">
        <f>'Technology Matrix'!S89</f>
        <v>0</v>
      </c>
      <c r="F126" s="220">
        <f>'Technology Matrix'!T89</f>
        <v>0</v>
      </c>
      <c r="G126" s="221"/>
      <c r="Q126" s="221"/>
      <c r="R126" s="222"/>
      <c r="S126" s="222"/>
      <c r="AA126" s="221"/>
      <c r="AK126" s="221"/>
      <c r="AL126" s="222"/>
      <c r="AU126" s="221"/>
      <c r="AV126" s="222"/>
      <c r="BE126" s="221"/>
      <c r="BF126" s="222"/>
      <c r="BO126" s="221"/>
      <c r="BP126" s="222"/>
      <c r="BY126" s="221"/>
      <c r="BZ126" s="222"/>
      <c r="CI126" s="221"/>
      <c r="CJ126" s="222"/>
      <c r="CS126" s="221"/>
      <c r="CT126" s="222"/>
      <c r="DC126" s="223"/>
    </row>
    <row r="127" spans="2:107" x14ac:dyDescent="0.2">
      <c r="B127" s="234"/>
      <c r="C127" s="235"/>
      <c r="D127" s="236"/>
      <c r="E127" s="236"/>
      <c r="F127" s="236"/>
      <c r="G127" s="237"/>
      <c r="H127" s="236"/>
      <c r="I127" s="236"/>
      <c r="J127" s="236"/>
      <c r="K127" s="236"/>
      <c r="L127" s="236"/>
      <c r="M127" s="236"/>
      <c r="N127" s="236"/>
      <c r="O127" s="236"/>
      <c r="P127" s="236"/>
      <c r="Q127" s="237"/>
      <c r="R127" s="236"/>
      <c r="S127" s="236"/>
      <c r="T127" s="236"/>
      <c r="U127" s="236"/>
      <c r="V127" s="236"/>
      <c r="W127" s="236"/>
      <c r="X127" s="236"/>
      <c r="Y127" s="236"/>
      <c r="Z127" s="236"/>
      <c r="AA127" s="237"/>
      <c r="AB127" s="236"/>
      <c r="AC127" s="236"/>
      <c r="AD127" s="236"/>
      <c r="AE127" s="236"/>
      <c r="AF127" s="236"/>
      <c r="AG127" s="236"/>
      <c r="AH127" s="236"/>
      <c r="AI127" s="236"/>
      <c r="AJ127" s="236"/>
      <c r="AK127" s="237"/>
      <c r="AL127" s="236"/>
      <c r="AM127" s="236"/>
      <c r="AN127" s="236"/>
      <c r="AO127" s="236"/>
      <c r="AP127" s="236"/>
      <c r="AQ127" s="236"/>
      <c r="AR127" s="236"/>
      <c r="AS127" s="236"/>
      <c r="AT127" s="236"/>
      <c r="AU127" s="237"/>
      <c r="AV127" s="236"/>
      <c r="AW127" s="236"/>
      <c r="AX127" s="236"/>
      <c r="AY127" s="236"/>
      <c r="AZ127" s="236"/>
      <c r="BA127" s="236"/>
      <c r="BB127" s="236"/>
      <c r="BC127" s="236"/>
      <c r="BD127" s="236"/>
      <c r="BE127" s="237"/>
      <c r="BF127" s="236"/>
      <c r="BG127" s="236"/>
      <c r="BH127" s="236"/>
      <c r="BI127" s="236"/>
      <c r="BJ127" s="236"/>
      <c r="BK127" s="236"/>
      <c r="BL127" s="236"/>
      <c r="BM127" s="236"/>
      <c r="BN127" s="236"/>
      <c r="BO127" s="237"/>
      <c r="BP127" s="236"/>
      <c r="BQ127" s="236"/>
      <c r="BR127" s="236"/>
      <c r="BS127" s="236"/>
      <c r="BT127" s="236"/>
      <c r="BU127" s="236"/>
      <c r="BV127" s="236"/>
      <c r="BW127" s="236"/>
      <c r="BX127" s="236"/>
      <c r="BY127" s="237"/>
      <c r="BZ127" s="236"/>
      <c r="CA127" s="236"/>
      <c r="CB127" s="236"/>
      <c r="CC127" s="236"/>
      <c r="CD127" s="236"/>
      <c r="CE127" s="236"/>
      <c r="CF127" s="236"/>
      <c r="CG127" s="236"/>
      <c r="CH127" s="236"/>
      <c r="CI127" s="237"/>
      <c r="CJ127" s="236"/>
      <c r="CK127" s="236"/>
      <c r="CL127" s="236"/>
      <c r="CM127" s="236"/>
      <c r="CN127" s="236"/>
      <c r="CO127" s="236"/>
      <c r="CP127" s="236"/>
      <c r="CQ127" s="236"/>
      <c r="CR127" s="236"/>
      <c r="CS127" s="237"/>
      <c r="CT127" s="236"/>
      <c r="CU127" s="236"/>
      <c r="CV127" s="236"/>
      <c r="CW127" s="236"/>
      <c r="CX127" s="236"/>
      <c r="CY127" s="236"/>
      <c r="CZ127" s="236"/>
      <c r="DA127" s="236"/>
      <c r="DB127" s="236"/>
      <c r="DC127" s="238"/>
    </row>
    <row r="189" spans="3:3" x14ac:dyDescent="0.2">
      <c r="C189" s="239" t="s">
        <v>558</v>
      </c>
    </row>
  </sheetData>
  <sheetProtection password="D75F" sheet="1" objects="1" scenarios="1"/>
  <mergeCells count="9">
    <mergeCell ref="G2:DC2"/>
    <mergeCell ref="C2:D3"/>
    <mergeCell ref="E2:F2"/>
    <mergeCell ref="C73:C89"/>
    <mergeCell ref="C49:C57"/>
    <mergeCell ref="C59:C71"/>
    <mergeCell ref="C5:C23"/>
    <mergeCell ref="C25:C39"/>
    <mergeCell ref="C41:C47"/>
  </mergeCells>
  <conditionalFormatting sqref="G5:P24 R5:DC24">
    <cfRule type="cellIs" dxfId="59" priority="124" operator="equal">
      <formula>"T"</formula>
    </cfRule>
  </conditionalFormatting>
  <conditionalFormatting sqref="G41:P41 R41:DC41">
    <cfRule type="cellIs" dxfId="58" priority="115" operator="equal">
      <formula>"T"</formula>
    </cfRule>
  </conditionalFormatting>
  <conditionalFormatting sqref="G49:P49 R49:DC49">
    <cfRule type="cellIs" dxfId="57" priority="111" operator="equal">
      <formula>"T"</formula>
    </cfRule>
  </conditionalFormatting>
  <conditionalFormatting sqref="G59:P59 R59:DC59">
    <cfRule type="cellIs" dxfId="56" priority="106" operator="equal">
      <formula>"T"</formula>
    </cfRule>
  </conditionalFormatting>
  <conditionalFormatting sqref="G73:P73 R73:DC73">
    <cfRule type="cellIs" dxfId="55" priority="99" operator="equal">
      <formula>"T"</formula>
    </cfRule>
  </conditionalFormatting>
  <conditionalFormatting sqref="G25:DC25">
    <cfRule type="cellIs" dxfId="54" priority="84" operator="equal">
      <formula>"T"</formula>
    </cfRule>
  </conditionalFormatting>
  <conditionalFormatting sqref="G43:P43 R43:DC43">
    <cfRule type="cellIs" dxfId="53" priority="83" operator="equal">
      <formula>"T"</formula>
    </cfRule>
  </conditionalFormatting>
  <conditionalFormatting sqref="G45:P45 R45:DC45">
    <cfRule type="cellIs" dxfId="52" priority="82" operator="equal">
      <formula>"T"</formula>
    </cfRule>
  </conditionalFormatting>
  <conditionalFormatting sqref="G47:P47 R47:DC47">
    <cfRule type="cellIs" dxfId="51" priority="81" operator="equal">
      <formula>"T"</formula>
    </cfRule>
  </conditionalFormatting>
  <conditionalFormatting sqref="G61:P61 R61:DC61">
    <cfRule type="cellIs" dxfId="50" priority="76" operator="equal">
      <formula>"T"</formula>
    </cfRule>
  </conditionalFormatting>
  <conditionalFormatting sqref="G63:P63 R63:DC63">
    <cfRule type="cellIs" dxfId="49" priority="75" operator="equal">
      <formula>"T"</formula>
    </cfRule>
  </conditionalFormatting>
  <conditionalFormatting sqref="G65:P65 R65:DC65">
    <cfRule type="cellIs" dxfId="48" priority="74" operator="equal">
      <formula>"T"</formula>
    </cfRule>
  </conditionalFormatting>
  <conditionalFormatting sqref="G67:P67 R67:DC67">
    <cfRule type="cellIs" dxfId="47" priority="73" operator="equal">
      <formula>"T"</formula>
    </cfRule>
  </conditionalFormatting>
  <conditionalFormatting sqref="G69:P69 R69:DC69">
    <cfRule type="cellIs" dxfId="46" priority="72" operator="equal">
      <formula>"T"</formula>
    </cfRule>
  </conditionalFormatting>
  <conditionalFormatting sqref="G71:P71 R71:DC71">
    <cfRule type="cellIs" dxfId="45" priority="71" operator="equal">
      <formula>"T"</formula>
    </cfRule>
  </conditionalFormatting>
  <conditionalFormatting sqref="G75:P75 R75:DC75">
    <cfRule type="cellIs" dxfId="44" priority="53" operator="equal">
      <formula>"T"</formula>
    </cfRule>
  </conditionalFormatting>
  <conditionalFormatting sqref="G77:P77 R77:DC77">
    <cfRule type="cellIs" dxfId="43" priority="52" operator="equal">
      <formula>"T"</formula>
    </cfRule>
  </conditionalFormatting>
  <conditionalFormatting sqref="G79:P79 R79:DC79">
    <cfRule type="cellIs" dxfId="42" priority="51" operator="equal">
      <formula>"T"</formula>
    </cfRule>
  </conditionalFormatting>
  <conditionalFormatting sqref="G81:P81 R81:DC81">
    <cfRule type="cellIs" dxfId="41" priority="50" operator="equal">
      <formula>"T"</formula>
    </cfRule>
  </conditionalFormatting>
  <conditionalFormatting sqref="G83:P83 R83:DC83">
    <cfRule type="cellIs" dxfId="40" priority="49" operator="equal">
      <formula>"T"</formula>
    </cfRule>
  </conditionalFormatting>
  <conditionalFormatting sqref="G85:P85 R85:DC85">
    <cfRule type="cellIs" dxfId="39" priority="48" operator="equal">
      <formula>"T"</formula>
    </cfRule>
  </conditionalFormatting>
  <conditionalFormatting sqref="G87:P87 R87:DC87">
    <cfRule type="cellIs" dxfId="38" priority="47" operator="equal">
      <formula>"T"</formula>
    </cfRule>
  </conditionalFormatting>
  <conditionalFormatting sqref="G89:P89 R89:DC89">
    <cfRule type="cellIs" dxfId="37" priority="46" operator="equal">
      <formula>"T"</formula>
    </cfRule>
  </conditionalFormatting>
  <conditionalFormatting sqref="G51:P51 R51:DC51">
    <cfRule type="cellIs" dxfId="36" priority="45" operator="equal">
      <formula>"T"</formula>
    </cfRule>
  </conditionalFormatting>
  <conditionalFormatting sqref="G53:P53 R53:DC53">
    <cfRule type="cellIs" dxfId="35" priority="44" operator="equal">
      <formula>"T"</formula>
    </cfRule>
  </conditionalFormatting>
  <conditionalFormatting sqref="G55:P55 R55:DC55">
    <cfRule type="cellIs" dxfId="34" priority="43" operator="equal">
      <formula>"T"</formula>
    </cfRule>
  </conditionalFormatting>
  <conditionalFormatting sqref="G57:P57 R57:DC57">
    <cfRule type="cellIs" dxfId="33" priority="42" operator="equal">
      <formula>"T"</formula>
    </cfRule>
  </conditionalFormatting>
  <conditionalFormatting sqref="Q5:Q24">
    <cfRule type="cellIs" dxfId="32" priority="41" operator="equal">
      <formula>"T"</formula>
    </cfRule>
  </conditionalFormatting>
  <conditionalFormatting sqref="Q41">
    <cfRule type="cellIs" dxfId="31" priority="39" operator="equal">
      <formula>"T"</formula>
    </cfRule>
  </conditionalFormatting>
  <conditionalFormatting sqref="Q49">
    <cfRule type="cellIs" dxfId="30" priority="38" operator="equal">
      <formula>"T"</formula>
    </cfRule>
  </conditionalFormatting>
  <conditionalFormatting sqref="Q59">
    <cfRule type="cellIs" dxfId="29" priority="37" operator="equal">
      <formula>"T"</formula>
    </cfRule>
  </conditionalFormatting>
  <conditionalFormatting sqref="Q73">
    <cfRule type="cellIs" dxfId="28" priority="36" operator="equal">
      <formula>"T"</formula>
    </cfRule>
  </conditionalFormatting>
  <conditionalFormatting sqref="Q43">
    <cfRule type="cellIs" dxfId="27" priority="28" operator="equal">
      <formula>"T"</formula>
    </cfRule>
  </conditionalFormatting>
  <conditionalFormatting sqref="Q45">
    <cfRule type="cellIs" dxfId="26" priority="27" operator="equal">
      <formula>"T"</formula>
    </cfRule>
  </conditionalFormatting>
  <conditionalFormatting sqref="Q47">
    <cfRule type="cellIs" dxfId="25" priority="26" operator="equal">
      <formula>"T"</formula>
    </cfRule>
  </conditionalFormatting>
  <conditionalFormatting sqref="Q61">
    <cfRule type="cellIs" dxfId="24" priority="25" operator="equal">
      <formula>"T"</formula>
    </cfRule>
  </conditionalFormatting>
  <conditionalFormatting sqref="Q63">
    <cfRule type="cellIs" dxfId="23" priority="24" operator="equal">
      <formula>"T"</formula>
    </cfRule>
  </conditionalFormatting>
  <conditionalFormatting sqref="Q65">
    <cfRule type="cellIs" dxfId="22" priority="23" operator="equal">
      <formula>"T"</formula>
    </cfRule>
  </conditionalFormatting>
  <conditionalFormatting sqref="Q67">
    <cfRule type="cellIs" dxfId="21" priority="22" operator="equal">
      <formula>"T"</formula>
    </cfRule>
  </conditionalFormatting>
  <conditionalFormatting sqref="Q69">
    <cfRule type="cellIs" dxfId="20" priority="21" operator="equal">
      <formula>"T"</formula>
    </cfRule>
  </conditionalFormatting>
  <conditionalFormatting sqref="Q71">
    <cfRule type="cellIs" dxfId="19" priority="20" operator="equal">
      <formula>"T"</formula>
    </cfRule>
  </conditionalFormatting>
  <conditionalFormatting sqref="Q75">
    <cfRule type="cellIs" dxfId="18" priority="19" operator="equal">
      <formula>"T"</formula>
    </cfRule>
  </conditionalFormatting>
  <conditionalFormatting sqref="Q77">
    <cfRule type="cellIs" dxfId="17" priority="18" operator="equal">
      <formula>"T"</formula>
    </cfRule>
  </conditionalFormatting>
  <conditionalFormatting sqref="Q79">
    <cfRule type="cellIs" dxfId="16" priority="17" operator="equal">
      <formula>"T"</formula>
    </cfRule>
  </conditionalFormatting>
  <conditionalFormatting sqref="Q81">
    <cfRule type="cellIs" dxfId="15" priority="16" operator="equal">
      <formula>"T"</formula>
    </cfRule>
  </conditionalFormatting>
  <conditionalFormatting sqref="Q83">
    <cfRule type="cellIs" dxfId="14" priority="15" operator="equal">
      <formula>"T"</formula>
    </cfRule>
  </conditionalFormatting>
  <conditionalFormatting sqref="Q85">
    <cfRule type="cellIs" dxfId="13" priority="14" operator="equal">
      <formula>"T"</formula>
    </cfRule>
  </conditionalFormatting>
  <conditionalFormatting sqref="Q87">
    <cfRule type="cellIs" dxfId="12" priority="13" operator="equal">
      <formula>"T"</formula>
    </cfRule>
  </conditionalFormatting>
  <conditionalFormatting sqref="Q89">
    <cfRule type="cellIs" dxfId="11" priority="12" operator="equal">
      <formula>"T"</formula>
    </cfRule>
  </conditionalFormatting>
  <conditionalFormatting sqref="Q51">
    <cfRule type="cellIs" dxfId="10" priority="11" operator="equal">
      <formula>"T"</formula>
    </cfRule>
  </conditionalFormatting>
  <conditionalFormatting sqref="Q53">
    <cfRule type="cellIs" dxfId="9" priority="10" operator="equal">
      <formula>"T"</formula>
    </cfRule>
  </conditionalFormatting>
  <conditionalFormatting sqref="Q55">
    <cfRule type="cellIs" dxfId="8" priority="9" operator="equal">
      <formula>"T"</formula>
    </cfRule>
  </conditionalFormatting>
  <conditionalFormatting sqref="Q57">
    <cfRule type="cellIs" dxfId="7" priority="8" operator="equal">
      <formula>"T"</formula>
    </cfRule>
  </conditionalFormatting>
  <conditionalFormatting sqref="G27:DC27">
    <cfRule type="cellIs" dxfId="6" priority="7" operator="equal">
      <formula>"T"</formula>
    </cfRule>
  </conditionalFormatting>
  <conditionalFormatting sqref="G29:DC29">
    <cfRule type="cellIs" dxfId="5" priority="6" operator="equal">
      <formula>"T"</formula>
    </cfRule>
  </conditionalFormatting>
  <conditionalFormatting sqref="G31:DC31">
    <cfRule type="cellIs" dxfId="4" priority="5" operator="equal">
      <formula>"T"</formula>
    </cfRule>
  </conditionalFormatting>
  <conditionalFormatting sqref="G33:DC33">
    <cfRule type="cellIs" dxfId="3" priority="4" operator="equal">
      <formula>"T"</formula>
    </cfRule>
  </conditionalFormatting>
  <conditionalFormatting sqref="G35:DC35">
    <cfRule type="cellIs" dxfId="2" priority="3" operator="equal">
      <formula>"T"</formula>
    </cfRule>
  </conditionalFormatting>
  <conditionalFormatting sqref="G37:DC37">
    <cfRule type="cellIs" dxfId="1" priority="2" operator="equal">
      <formula>"T"</formula>
    </cfRule>
  </conditionalFormatting>
  <conditionalFormatting sqref="G39:DC39">
    <cfRule type="cellIs" dxfId="0" priority="1" operator="equal">
      <formula>"T"</formula>
    </cfRule>
  </conditionalFormatting>
  <printOptions horizontalCentered="1"/>
  <pageMargins left="0.7" right="0.7" top="0.75" bottom="0.75" header="0.3" footer="0.3"/>
  <pageSetup paperSize="17" scale="57" orientation="landscape" r:id="rId1"/>
  <headerFooter>
    <oddFooter>&amp;LAECOM Technical Services, Inc., Scott Horsley, and Offshoots, Inc. ©&amp;CCape Cod Commission
208 Plan
Reliability Range of Nitrogen Reduction&amp;RPage &amp;P of &amp;N
Revised: August 13, 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Project_x0020_Name xmlns="15cacde6-ccbc-4082-8f20-7d66ea058340">Project A</Project_x0020_Name>
    <Ratings xmlns="15cacde6-ccbc-4082-8f20-7d66ea058340" xsi:nil="true"/>
    <n182eaacf38a4fceb355f0d6962e9deb xmlns="5d982bf3-a48c-4351-8fdb-12b10060851e">
      <Terms xmlns="http://schemas.microsoft.com/office/infopath/2007/PartnerControls"/>
    </n182eaacf38a4fceb355f0d6962e9deb>
    <k20b5b353c2d4a59a44170cce5889c20 xmlns="5d982bf3-a48c-4351-8fdb-12b10060851e">
      <Terms xmlns="http://schemas.microsoft.com/office/infopath/2007/PartnerControls"/>
    </k20b5b353c2d4a59a44170cce5889c20>
    <m40c72e831f14d68a47c5906dc265b61 xmlns="5d982bf3-a48c-4351-8fdb-12b10060851e">
      <Terms xmlns="http://schemas.microsoft.com/office/infopath/2007/PartnerControls"/>
    </m40c72e831f14d68a47c5906dc265b61>
    <mc1af4c238594e12bbb9206d9aa9c5d3 xmlns="5d982bf3-a48c-4351-8fdb-12b10060851e">
      <Terms xmlns="http://schemas.microsoft.com/office/infopath/2007/PartnerControls"/>
    </mc1af4c238594e12bbb9206d9aa9c5d3>
    <j71a73172208464eb388c685d7fd5904 xmlns="5d982bf3-a48c-4351-8fdb-12b10060851e">
      <Terms xmlns="http://schemas.microsoft.com/office/infopath/2007/PartnerControls"/>
    </j71a73172208464eb388c685d7fd5904>
    <k1250adc1ff244fa903739753c5e73ff xmlns="5d982bf3-a48c-4351-8fdb-12b10060851e">
      <Terms xmlns="http://schemas.microsoft.com/office/infopath/2007/PartnerControls"/>
    </k1250adc1ff244fa903739753c5e73ff>
    <TaxCatchAll xmlns="9be3f55f-8098-485e-a615-a10e4181e135"/>
    <ned4871b43f142479a1da9e4dec3ead3 xmlns="5d982bf3-a48c-4351-8fdb-12b10060851e">
      <Terms xmlns="http://schemas.microsoft.com/office/infopath/2007/PartnerControls"/>
    </ned4871b43f142479a1da9e4dec3ead3>
    <ia4fe8ee8d364c9f8d8b37e8c9aeedb6 xmlns="5d982bf3-a48c-4351-8fdb-12b10060851e">
      <Terms xmlns="http://schemas.microsoft.com/office/infopath/2007/PartnerControls"/>
    </ia4fe8ee8d364c9f8d8b37e8c9aeedb6>
    <fe949326ff6d4687acbf295dda149b37 xmlns="5d982bf3-a48c-4351-8fdb-12b10060851e">
      <Terms xmlns="http://schemas.microsoft.com/office/infopath/2007/PartnerControls"/>
    </fe949326ff6d4687acbf295dda149b37>
    <aeec274ad21c4909ab5fb112d68909fb xmlns="5d982bf3-a48c-4351-8fdb-12b10060851e">
      <Terms xmlns="http://schemas.microsoft.com/office/infopath/2007/PartnerControls"/>
    </aeec274ad21c4909ab5fb112d68909f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Site Document" ma:contentTypeID="0x010100B54A9A03EBE2734595C43DD124854F0000CD1E7DA2A38DE840A7822F8F50894182" ma:contentTypeVersion="40" ma:contentTypeDescription="Create a new document." ma:contentTypeScope="" ma:versionID="8b91caff8e54a5c9e610a6fa2adb9ae2">
  <xsd:schema xmlns:xsd="http://www.w3.org/2001/XMLSchema" xmlns:xs="http://www.w3.org/2001/XMLSchema" xmlns:p="http://schemas.microsoft.com/office/2006/metadata/properties" xmlns:ns1="http://schemas.microsoft.com/sharepoint/v3" xmlns:ns2="15cacde6-ccbc-4082-8f20-7d66ea058340" xmlns:ns3="5d982bf3-a48c-4351-8fdb-12b10060851e" xmlns:ns4="9be3f55f-8098-485e-a615-a10e4181e135" targetNamespace="http://schemas.microsoft.com/office/2006/metadata/properties" ma:root="true" ma:fieldsID="8eca9a54d2b3a7153e54f513577c8ebf" ns1:_="" ns2:_="" ns3:_="" ns4:_="">
    <xsd:import namespace="http://schemas.microsoft.com/sharepoint/v3"/>
    <xsd:import namespace="15cacde6-ccbc-4082-8f20-7d66ea058340"/>
    <xsd:import namespace="5d982bf3-a48c-4351-8fdb-12b10060851e"/>
    <xsd:import namespace="9be3f55f-8098-485e-a615-a10e4181e135"/>
    <xsd:element name="properties">
      <xsd:complexType>
        <xsd:sequence>
          <xsd:element name="documentManagement">
            <xsd:complexType>
              <xsd:all>
                <xsd:element ref="ns2:Project_x0020_Name" minOccurs="0"/>
                <xsd:element ref="ns1:RatedBy" minOccurs="0"/>
                <xsd:element ref="ns2:Ratings" minOccurs="0"/>
                <xsd:element ref="ns1:LikesCount" minOccurs="0"/>
                <xsd:element ref="ns1:LikedBy"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n182eaacf38a4fceb355f0d6962e9deb" minOccurs="0"/>
                <xsd:element ref="ns4:TaxCatchAll" minOccurs="0"/>
                <xsd:element ref="ns3:ned4871b43f142479a1da9e4dec3ead3" minOccurs="0"/>
                <xsd:element ref="ns3:aeec274ad21c4909ab5fb112d68909fb" minOccurs="0"/>
                <xsd:element ref="ns3:k20b5b353c2d4a59a44170cce5889c20" minOccurs="0"/>
                <xsd:element ref="ns3:fe949326ff6d4687acbf295dda149b37" minOccurs="0"/>
                <xsd:element ref="ns3:mc1af4c238594e12bbb9206d9aa9c5d3" minOccurs="0"/>
                <xsd:element ref="ns3:m40c72e831f14d68a47c5906dc265b61" minOccurs="0"/>
                <xsd:element ref="ns3:ia4fe8ee8d364c9f8d8b37e8c9aeedb6" minOccurs="0"/>
                <xsd:element ref="ns3:j71a73172208464eb388c685d7fd5904" minOccurs="0"/>
                <xsd:element ref="ns3:k1250adc1ff244fa903739753c5e73ff"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9" nillable="true" ma:displayName="Rated By" ma:description="Users rated the item." ma:list="UserInfo" ma:internalName="Rat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kesCount" ma:index="11" nillable="true" ma:displayName="Number of Likes" ma:internalName="LikesCount" ma:readOnly="false">
      <xsd:simpleType>
        <xsd:restriction base="dms:Unknown"/>
      </xsd:simpleType>
    </xsd:element>
    <xsd:element name="LikedBy" ma:index="12" nillable="true" ma:displayName="Liked By" ma:list="UserInfo" ma:internalName="Lik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acde6-ccbc-4082-8f20-7d66ea058340" elementFormDefault="qualified">
    <xsd:import namespace="http://schemas.microsoft.com/office/2006/documentManagement/types"/>
    <xsd:import namespace="http://schemas.microsoft.com/office/infopath/2007/PartnerControls"/>
    <xsd:element name="Project_x0020_Name" ma:index="8" nillable="true" ma:displayName="Project Name" ma:default="Project A" ma:format="Dropdown" ma:internalName="Project_x0020_Name" ma:readOnly="false">
      <xsd:simpleType>
        <xsd:restriction base="dms:Choice">
          <xsd:enumeration value="Lowes of Dennis"/>
          <xsd:enumeration value="Project A"/>
        </xsd:restriction>
      </xsd:simpleType>
    </xsd:element>
    <xsd:element name="Ratings" ma:index="10" nillable="true" ma:displayName="User ratings" ma:description="User ratings for the item" ma:internalName="Ratings" ma:readOnly="false">
      <xsd:simpleType>
        <xsd:restriction base="dms:Note">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982bf3-a48c-4351-8fdb-12b10060851e" elementFormDefault="qualified">
    <xsd:import namespace="http://schemas.microsoft.com/office/2006/documentManagement/types"/>
    <xsd:import namespace="http://schemas.microsoft.com/office/infopath/2007/PartnerControls"/>
    <xsd:element name="n182eaacf38a4fceb355f0d6962e9deb" ma:index="21" nillable="true" ma:taxonomy="true" ma:internalName="n182eaacf38a4fceb355f0d6962e9deb" ma:taxonomyFieldName="Agency" ma:displayName="Agency" ma:default="" ma:fieldId="{7182eaac-f38a-4fce-b355-f0d6962e9deb}" ma:taxonomyMulti="true" ma:sspId="cceb9721-df7c-4dbc-8f19-77f5dc396abe" ma:termSetId="a014325f-77f6-4581-a969-155462e883c4" ma:anchorId="00000000-0000-0000-0000-000000000000" ma:open="false" ma:isKeyword="false">
      <xsd:complexType>
        <xsd:sequence>
          <xsd:element ref="pc:Terms" minOccurs="0" maxOccurs="1"/>
        </xsd:sequence>
      </xsd:complexType>
    </xsd:element>
    <xsd:element name="ned4871b43f142479a1da9e4dec3ead3" ma:index="24" nillable="true" ma:taxonomy="true" ma:internalName="ned4871b43f142479a1da9e4dec3ead3" ma:taxonomyFieldName="CCC_x0020_Plans" ma:displayName="CCC Plans" ma:default="" ma:fieldId="{7ed4871b-43f1-4247-9a1d-a9e4dec3ead3}" ma:sspId="cceb9721-df7c-4dbc-8f19-77f5dc396abe" ma:termSetId="e8cc82b8-12c0-455f-a3a2-81036c43199c" ma:anchorId="00000000-0000-0000-0000-000000000000" ma:open="false" ma:isKeyword="false">
      <xsd:complexType>
        <xsd:sequence>
          <xsd:element ref="pc:Terms" minOccurs="0" maxOccurs="1"/>
        </xsd:sequence>
      </xsd:complexType>
    </xsd:element>
    <xsd:element name="aeec274ad21c4909ab5fb112d68909fb" ma:index="26" nillable="true" ma:taxonomy="true" ma:internalName="aeec274ad21c4909ab5fb112d68909fb" ma:taxonomyFieldName="Document_x0020_Status" ma:displayName="Document Status" ma:default="" ma:fieldId="{aeec274a-d21c-4909-ab5f-b112d68909fb}" ma:sspId="cceb9721-df7c-4dbc-8f19-77f5dc396abe" ma:termSetId="4ec54bb5-14a5-4b45-bcdb-6e98c6089fdf" ma:anchorId="00000000-0000-0000-0000-000000000000" ma:open="false" ma:isKeyword="false">
      <xsd:complexType>
        <xsd:sequence>
          <xsd:element ref="pc:Terms" minOccurs="0" maxOccurs="1"/>
        </xsd:sequence>
      </xsd:complexType>
    </xsd:element>
    <xsd:element name="k20b5b353c2d4a59a44170cce5889c20" ma:index="28" nillable="true" ma:taxonomy="true" ma:internalName="k20b5b353c2d4a59a44170cce5889c20" ma:taxonomyFieldName="CCC_x0020_Document_x0020_Type" ma:displayName="Document Type" ma:default="" ma:fieldId="{420b5b35-3c2d-4a59-a441-70cce5889c20}" ma:sspId="cceb9721-df7c-4dbc-8f19-77f5dc396abe" ma:termSetId="2f5adcc4-b536-4831-8487-2b04e936f6a9" ma:anchorId="00000000-0000-0000-0000-000000000000" ma:open="false" ma:isKeyword="false">
      <xsd:complexType>
        <xsd:sequence>
          <xsd:element ref="pc:Terms" minOccurs="0" maxOccurs="1"/>
        </xsd:sequence>
      </xsd:complexType>
    </xsd:element>
    <xsd:element name="fe949326ff6d4687acbf295dda149b37" ma:index="30" nillable="true" ma:taxonomy="true" ma:internalName="fe949326ff6d4687acbf295dda149b37" ma:taxonomyFieldName="SiteDomains" ma:displayName="Domains" ma:default="" ma:fieldId="{fe949326-ff6d-4687-acbf-295dda149b37}" ma:sspId="cceb9721-df7c-4dbc-8f19-77f5dc396abe" ma:termSetId="f3a86052-10d6-4365-9271-fd817bb07314" ma:anchorId="00000000-0000-0000-0000-000000000000" ma:open="false" ma:isKeyword="false">
      <xsd:complexType>
        <xsd:sequence>
          <xsd:element ref="pc:Terms" minOccurs="0" maxOccurs="1"/>
        </xsd:sequence>
      </xsd:complexType>
    </xsd:element>
    <xsd:element name="mc1af4c238594e12bbb9206d9aa9c5d3" ma:index="32" nillable="true" ma:taxonomy="true" ma:internalName="mc1af4c238594e12bbb9206d9aa9c5d3" ma:taxonomyFieldName="Project_x0020_ID" ma:displayName="Project ID" ma:default="" ma:fieldId="{6c1af4c2-3859-4e12-bbb9-206d9aa9c5d3}" ma:taxonomyMulti="true" ma:sspId="cceb9721-df7c-4dbc-8f19-77f5dc396abe" ma:termSetId="a246038d-ca75-49fa-bd90-277acabb185f" ma:anchorId="00000000-0000-0000-0000-000000000000" ma:open="true" ma:isKeyword="false">
      <xsd:complexType>
        <xsd:sequence>
          <xsd:element ref="pc:Terms" minOccurs="0" maxOccurs="1"/>
        </xsd:sequence>
      </xsd:complexType>
    </xsd:element>
    <xsd:element name="m40c72e831f14d68a47c5906dc265b61" ma:index="34" nillable="true" ma:taxonomy="true" ma:internalName="m40c72e831f14d68a47c5906dc265b61" ma:taxonomyFieldName="Subregions" ma:displayName="Subregions" ma:default="" ma:fieldId="{640c72e8-31f1-4d68-a47c-5906dc265b61}" ma:sspId="cceb9721-df7c-4dbc-8f19-77f5dc396abe" ma:termSetId="e4d70239-6864-4c3b-926f-603e2965f3b1" ma:anchorId="00000000-0000-0000-0000-000000000000" ma:open="false" ma:isKeyword="false">
      <xsd:complexType>
        <xsd:sequence>
          <xsd:element ref="pc:Terms" minOccurs="0" maxOccurs="1"/>
        </xsd:sequence>
      </xsd:complexType>
    </xsd:element>
    <xsd:element name="ia4fe8ee8d364c9f8d8b37e8c9aeedb6" ma:index="36" nillable="true" ma:taxonomy="true" ma:internalName="ia4fe8ee8d364c9f8d8b37e8c9aeedb6" ma:taxonomyFieldName="Town_x0020_or_x0020_Village" ma:displayName="Town or Village" ma:default="" ma:fieldId="{2a4fe8ee-8d36-4c9f-8d8b-37e8c9aeedb6}" ma:taxonomyMulti="true" ma:sspId="cceb9721-df7c-4dbc-8f19-77f5dc396abe" ma:termSetId="64630a1b-9342-481d-953c-3caea2ee54e7" ma:anchorId="00000000-0000-0000-0000-000000000000" ma:open="false" ma:isKeyword="false">
      <xsd:complexType>
        <xsd:sequence>
          <xsd:element ref="pc:Terms" minOccurs="0" maxOccurs="1"/>
        </xsd:sequence>
      </xsd:complexType>
    </xsd:element>
    <xsd:element name="j71a73172208464eb388c685d7fd5904" ma:index="38" nillable="true" ma:taxonomy="true" ma:internalName="j71a73172208464eb388c685d7fd5904" ma:taxonomyFieldName="Year" ma:displayName="Year" ma:default="" ma:fieldId="{371a7317-2208-464e-b388-c685d7fd5904}" ma:sspId="cceb9721-df7c-4dbc-8f19-77f5dc396abe" ma:termSetId="038d3ef1-10e1-46c9-9eee-9c06d74a4573" ma:anchorId="00000000-0000-0000-0000-000000000000" ma:open="false" ma:isKeyword="false">
      <xsd:complexType>
        <xsd:sequence>
          <xsd:element ref="pc:Terms" minOccurs="0" maxOccurs="1"/>
        </xsd:sequence>
      </xsd:complexType>
    </xsd:element>
    <xsd:element name="k1250adc1ff244fa903739753c5e73ff" ma:index="40" nillable="true" ma:taxonomy="true" ma:internalName="k1250adc1ff244fa903739753c5e73ff" ma:taxonomyFieldName="WebResources" ma:displayName="WebResources" ma:default="" ma:fieldId="{41250adc-1ff2-44fa-9037-39753c5e73ff}" ma:sspId="cceb9721-df7c-4dbc-8f19-77f5dc396abe" ma:termSetId="3a3b1e03-2606-4712-baee-4715bbe485c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e3f55f-8098-485e-a615-a10e4181e13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768a9f4-479c-4e6f-93d4-4292895fbc04}" ma:internalName="TaxCatchAll" ma:showField="CatchAllData" ma:web="9be3f55f-8098-485e-a615-a10e4181e135">
      <xsd:complexType>
        <xsd:complexContent>
          <xsd:extension base="dms:MultiChoiceLookup">
            <xsd:sequence>
              <xsd:element name="Value" type="dms:Lookup" maxOccurs="unbounded" minOccurs="0" nillable="true"/>
            </xsd:sequence>
          </xsd:extension>
        </xsd:complexContent>
      </xsd:complexType>
    </xsd:element>
    <xsd:element name="SharedWithUsers" ma:index="4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99BB86-CDA6-424F-9A4A-8399190025B7}"/>
</file>

<file path=customXml/itemProps2.xml><?xml version="1.0" encoding="utf-8"?>
<ds:datastoreItem xmlns:ds="http://schemas.openxmlformats.org/officeDocument/2006/customXml" ds:itemID="{0F7ECF4C-07B1-44CF-AF33-971F47FA7515}"/>
</file>

<file path=customXml/itemProps3.xml><?xml version="1.0" encoding="utf-8"?>
<ds:datastoreItem xmlns:ds="http://schemas.openxmlformats.org/officeDocument/2006/customXml" ds:itemID="{F9DF5C1E-A0ED-4635-806F-401CE0263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Technology Matrix</vt:lpstr>
      <vt:lpstr>N Reduction Graph</vt:lpstr>
      <vt:lpstr>'N Reduction Graph'!Print_Area</vt:lpstr>
    </vt:vector>
  </TitlesOfParts>
  <Company>HW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horsley</dc:creator>
  <cp:lastModifiedBy>Jennifer Clinton</cp:lastModifiedBy>
  <cp:lastPrinted>2014-08-13T16:21:36Z</cp:lastPrinted>
  <dcterms:created xsi:type="dcterms:W3CDTF">2013-09-12T18:17:20Z</dcterms:created>
  <dcterms:modified xsi:type="dcterms:W3CDTF">2015-03-16T12:24:26Z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0x010100B54A9A03EBE2734595C43DD124854F0000CD1E7DA2A38DE840A7822F8F50894182</vt:lpwstr>
  </property>
  <property fmtid="{D5CDD505-2E9C-101B-9397-08002B2CF9AE}" pid="3" name="Order">
    <vt:r8>316700</vt:r8>
  </property>
</Properties>
</file>